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G:\Product\Environmental\CONFLICT MINERALS\SUPPLIER DOCs - Conflict Min\HAR\"/>
    </mc:Choice>
  </mc:AlternateContent>
  <xr:revisionPtr revIDLastSave="0" documentId="8_{6D401C55-7F24-474B-8853-828004E2E17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400" yWindow="1125" windowWidth="18900" windowHeight="12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c r="D4" i="5"/>
  <c r="E4"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X2355" i="5" s="1"/>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s="1"/>
  <c r="V6"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79" i="5"/>
  <c r="X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X63" i="5"/>
  <c r="I126" i="5"/>
  <c r="H126" i="5"/>
  <c r="H147" i="5"/>
  <c r="I147" i="5"/>
  <c r="F147" i="5"/>
  <c r="R237" i="5"/>
  <c r="F237" i="5"/>
  <c r="X237" i="5"/>
  <c r="J262" i="5"/>
  <c r="AB262" i="5"/>
  <c r="AB298" i="5"/>
  <c r="F451" i="5"/>
  <c r="R453" i="5"/>
  <c r="J453" i="5"/>
  <c r="H453" i="5"/>
  <c r="F453" i="5"/>
  <c r="H107" i="5"/>
  <c r="I107" i="5"/>
  <c r="X107" i="5"/>
  <c r="R125" i="5"/>
  <c r="T1447" i="5"/>
  <c r="AB1447" i="5"/>
  <c r="S1447" i="5"/>
  <c r="R22"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X61" i="5"/>
  <c r="R73" i="5"/>
  <c r="X73" i="5"/>
  <c r="F109" i="5"/>
  <c r="R109" i="5"/>
  <c r="R133" i="5"/>
  <c r="F133" i="5"/>
  <c r="F169" i="5"/>
  <c r="R169" i="5"/>
  <c r="X169" i="5"/>
  <c r="H195" i="5"/>
  <c r="F195" i="5"/>
  <c r="X195" i="5"/>
  <c r="R195" i="5"/>
  <c r="I195" i="5"/>
  <c r="J195" i="5"/>
  <c r="R67" i="5"/>
  <c r="X67"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R83" i="5"/>
  <c r="X83" i="5"/>
  <c r="R51" i="5"/>
  <c r="X51" i="5"/>
  <c r="R77" i="5"/>
  <c r="X77" i="5"/>
  <c r="R89" i="5"/>
  <c r="X89" i="5"/>
  <c r="I89" i="5"/>
  <c r="X129" i="5"/>
  <c r="F129" i="5"/>
  <c r="H199" i="5"/>
  <c r="R199" i="5"/>
  <c r="J199" i="5"/>
  <c r="I199" i="5"/>
  <c r="F199" i="5"/>
  <c r="X199" i="5"/>
  <c r="H131" i="5"/>
  <c r="F131" i="5"/>
  <c r="X131" i="5"/>
  <c r="I131" i="5"/>
  <c r="R131" i="5"/>
  <c r="J131" i="5"/>
  <c r="R57" i="5"/>
  <c r="X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4" i="6" s="1"/>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B83" i="4"/>
  <c r="A59" i="6"/>
  <c r="A17" i="2"/>
  <c r="A34" i="2"/>
  <c r="A52" i="2"/>
  <c r="A70" i="2"/>
  <c r="C7" i="3"/>
  <c r="C15" i="3"/>
  <c r="C23" i="3"/>
  <c r="C31" i="3"/>
  <c r="B15" i="4"/>
  <c r="A7" i="6"/>
  <c r="B28" i="4"/>
  <c r="B40" i="4"/>
  <c r="B70" i="4" s="1"/>
  <c r="A51" i="6" s="1"/>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33" i="4" s="1"/>
  <c r="A20" i="6" s="1"/>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s="1"/>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I7" i="6"/>
  <c r="I8" i="6"/>
  <c r="I9" i="6"/>
  <c r="C9" i="6" s="1"/>
  <c r="I10" i="6"/>
  <c r="I11" i="6"/>
  <c r="C11" i="6" s="1"/>
  <c r="I12" i="6"/>
  <c r="J22" i="6"/>
  <c r="J34" i="6"/>
  <c r="I35" i="6"/>
  <c r="J42" i="6"/>
  <c r="J50" i="6"/>
  <c r="I51" i="6"/>
  <c r="J59" i="6"/>
  <c r="I60" i="6"/>
  <c r="C5" i="7"/>
  <c r="D1" i="6"/>
  <c r="J6" i="6"/>
  <c r="J7" i="6"/>
  <c r="J8" i="6"/>
  <c r="C8" i="6"/>
  <c r="J9" i="6"/>
  <c r="J10" i="6"/>
  <c r="C10" i="6"/>
  <c r="J11" i="6"/>
  <c r="J12" i="6"/>
  <c r="I24" i="6"/>
  <c r="J35" i="6"/>
  <c r="I36" i="6"/>
  <c r="I44" i="6"/>
  <c r="J51" i="6"/>
  <c r="I52" i="6"/>
  <c r="J60" i="6"/>
  <c r="I62" i="6"/>
  <c r="I65" i="6"/>
  <c r="D5" i="7"/>
  <c r="B10" i="4"/>
  <c r="A6" i="6"/>
  <c r="B18" i="4"/>
  <c r="A10" i="6"/>
  <c r="G25" i="4"/>
  <c r="B44" i="4"/>
  <c r="A29" i="6" s="1"/>
  <c r="B49" i="4"/>
  <c r="A33" i="6" s="1"/>
  <c r="B85" i="4"/>
  <c r="A60" i="6" s="1"/>
  <c r="A4" i="5"/>
  <c r="I4" i="5"/>
  <c r="I14" i="6"/>
  <c r="I15" i="6"/>
  <c r="I16" i="6"/>
  <c r="I17" i="6"/>
  <c r="J24" i="6"/>
  <c r="I25" i="6"/>
  <c r="J36" i="6"/>
  <c r="I37" i="6"/>
  <c r="J44" i="6"/>
  <c r="I45" i="6"/>
  <c r="J52" i="6"/>
  <c r="J62" i="6"/>
  <c r="I63" i="6"/>
  <c r="C63" i="6" s="1"/>
  <c r="I64" i="6"/>
  <c r="J65" i="6"/>
  <c r="I66" i="6"/>
  <c r="B56" i="1"/>
  <c r="F4" i="8"/>
  <c r="H4" i="8"/>
  <c r="I4" i="8"/>
  <c r="C4" i="8"/>
  <c r="E4" i="8"/>
  <c r="S94" i="5"/>
  <c r="T262" i="5"/>
  <c r="S150" i="5"/>
  <c r="S491" i="5"/>
  <c r="T373" i="5"/>
  <c r="T337" i="5"/>
  <c r="T437" i="5"/>
  <c r="T349" i="5"/>
  <c r="T433" i="5"/>
  <c r="T179" i="5"/>
  <c r="S511" i="5"/>
  <c r="S147" i="5"/>
  <c r="T158" i="5"/>
  <c r="T193" i="5"/>
  <c r="S193" i="5"/>
  <c r="S203" i="5"/>
  <c r="T182" i="5"/>
  <c r="T165" i="5"/>
  <c r="T213" i="5"/>
  <c r="T384" i="5"/>
  <c r="T25" i="5"/>
  <c r="T123" i="5"/>
  <c r="T250"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123" i="5"/>
  <c r="S177" i="5"/>
  <c r="T186" i="5"/>
  <c r="T226" i="5"/>
  <c r="T327" i="5"/>
  <c r="S361"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95" i="5"/>
  <c r="S161" i="5"/>
  <c r="S171" i="5"/>
  <c r="T119" i="5"/>
  <c r="T183" i="5"/>
  <c r="T131" i="5"/>
  <c r="T195" i="5"/>
  <c r="T206" i="5"/>
  <c r="T294" i="5"/>
  <c r="T142" i="5"/>
  <c r="T93" i="5"/>
  <c r="S113" i="5"/>
  <c r="S145" i="5"/>
  <c r="T154" i="5"/>
  <c r="T214" i="5"/>
  <c r="T298" i="5"/>
  <c r="T8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106" i="5"/>
  <c r="T139" i="5"/>
  <c r="T173" i="5"/>
  <c r="T221" i="5"/>
  <c r="T242" i="5"/>
  <c r="S119" i="5"/>
  <c r="S183" i="5"/>
  <c r="T118" i="5"/>
  <c r="S131" i="5"/>
  <c r="S195" i="5"/>
  <c r="T111" i="5"/>
  <c r="T174" i="5"/>
  <c r="T331" i="5"/>
  <c r="T187" i="5"/>
  <c r="T361"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S111" i="5"/>
  <c r="T143" i="5"/>
  <c r="S197" i="5"/>
  <c r="T96" i="5"/>
  <c r="T155" i="5"/>
  <c r="S187" i="5"/>
  <c r="T282"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107" i="5"/>
  <c r="T323" i="5"/>
  <c r="T101" i="5"/>
  <c r="T113" i="5"/>
  <c r="S143" i="5"/>
  <c r="S175" i="5"/>
  <c r="S89" i="5"/>
  <c r="S15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99" i="5"/>
  <c r="T109" i="5"/>
  <c r="T162" i="5"/>
  <c r="T246" i="5"/>
  <c r="T307" i="5"/>
  <c r="T145" i="5"/>
  <c r="T177" i="5"/>
  <c r="T157" i="5"/>
  <c r="T122" i="5"/>
  <c r="T46"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99" i="5"/>
  <c r="T170" i="5"/>
  <c r="T203" i="5"/>
  <c r="T210" i="5"/>
  <c r="T274" i="5"/>
  <c r="T153" i="5"/>
  <c r="T351" i="5"/>
  <c r="T222" i="5"/>
  <c r="T92" i="5"/>
  <c r="T97"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95" i="5"/>
  <c r="T319" i="5"/>
  <c r="T468" i="5"/>
  <c r="T261" i="5"/>
  <c r="T202" i="5"/>
  <c r="T499" i="5"/>
  <c r="T428" i="5"/>
  <c r="T86" i="5"/>
  <c r="T380" i="5"/>
  <c r="T456" i="5"/>
  <c r="T357" i="5"/>
  <c r="T311" i="5"/>
  <c r="T258" i="5"/>
  <c r="T352" i="5"/>
  <c r="T416" i="5"/>
  <c r="T432"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52" i="4"/>
  <c r="A36" i="6"/>
  <c r="B64" i="4"/>
  <c r="A46"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86" i="5"/>
  <c r="S270" i="5"/>
  <c r="S133" i="5"/>
  <c r="S238" i="5"/>
  <c r="S109" i="5"/>
  <c r="S245"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471" i="5"/>
  <c r="S298" i="5"/>
  <c r="S142" i="5"/>
  <c r="S515" i="5"/>
  <c r="S289" i="5"/>
  <c r="S181" i="5"/>
  <c r="S90"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2" i="6"/>
  <c r="D62" i="6"/>
  <c r="C54" i="6"/>
  <c r="D54" i="6"/>
  <c r="D57" i="6"/>
  <c r="C57" i="6"/>
  <c r="F56" i="6"/>
  <c r="H56" i="6"/>
  <c r="H55" i="6"/>
  <c r="D59" i="6"/>
  <c r="C59" i="6"/>
  <c r="T9" i="5"/>
  <c r="C68" i="6"/>
  <c r="X13" i="5"/>
  <c r="X10" i="5"/>
  <c r="D65" i="6"/>
  <c r="X9" i="5"/>
  <c r="X12" i="5"/>
  <c r="X14" i="5"/>
  <c r="X17" i="5"/>
  <c r="D66" i="6"/>
  <c r="C67" i="6"/>
  <c r="X11" i="5"/>
  <c r="X15" i="5"/>
  <c r="X8" i="5"/>
  <c r="X7" i="5"/>
  <c r="X16" i="5"/>
  <c r="D55" i="6"/>
  <c r="C55" i="6"/>
  <c r="D56" i="6"/>
  <c r="C56" i="6"/>
  <c r="S74" i="5"/>
  <c r="T27" i="5"/>
  <c r="S85" i="5"/>
  <c r="T82" i="5"/>
  <c r="S77" i="5"/>
  <c r="S55" i="5"/>
  <c r="S31" i="5"/>
  <c r="T55" i="5"/>
  <c r="T75" i="5"/>
  <c r="T48" i="5"/>
  <c r="T58" i="5"/>
  <c r="S26" i="5"/>
  <c r="S57" i="5"/>
  <c r="S49" i="5"/>
  <c r="S51" i="5"/>
  <c r="S27" i="5"/>
  <c r="S81" i="5"/>
  <c r="T81" i="5"/>
  <c r="T78" i="5"/>
  <c r="T21" i="5"/>
  <c r="S73" i="5"/>
  <c r="T52" i="5"/>
  <c r="T6" i="5"/>
  <c r="S68" i="5"/>
  <c r="S32" i="5"/>
  <c r="S36" i="5"/>
  <c r="S62" i="5"/>
  <c r="S20" i="5"/>
  <c r="S34" i="5"/>
  <c r="S29" i="5"/>
  <c r="S48" i="5"/>
  <c r="S84" i="5"/>
  <c r="S82" i="5"/>
  <c r="S54" i="5"/>
  <c r="S76" i="5"/>
  <c r="S64" i="5"/>
  <c r="S5" i="5"/>
  <c r="T15" i="5"/>
  <c r="T14" i="5"/>
  <c r="S15" i="5"/>
  <c r="S11" i="5"/>
  <c r="T34" i="5"/>
  <c r="S18" i="5"/>
  <c r="T26" i="5"/>
  <c r="S53" i="5"/>
  <c r="S83" i="5"/>
  <c r="T33" i="5"/>
  <c r="T56" i="5"/>
  <c r="T38" i="5"/>
  <c r="T19" i="5"/>
  <c r="S75" i="5"/>
  <c r="S19" i="5"/>
  <c r="T53" i="5"/>
  <c r="T18" i="5"/>
  <c r="T77" i="5"/>
  <c r="T74" i="5"/>
  <c r="S69" i="5"/>
  <c r="T60" i="5"/>
  <c r="S59" i="5"/>
  <c r="T51" i="5"/>
  <c r="T32" i="5"/>
  <c r="T20" i="5"/>
  <c r="T68" i="5"/>
  <c r="T22" i="5"/>
  <c r="T24" i="5"/>
  <c r="T5" i="5"/>
  <c r="S56" i="5"/>
  <c r="S79" i="5"/>
  <c r="S78" i="5"/>
  <c r="S46" i="5"/>
  <c r="S66" i="5"/>
  <c r="S70" i="5"/>
  <c r="T16" i="5"/>
  <c r="T12" i="5"/>
  <c r="T11" i="5"/>
  <c r="S17" i="5"/>
  <c r="S13" i="5"/>
  <c r="S8" i="5"/>
  <c r="T28" i="5"/>
  <c r="S37" i="5"/>
  <c r="S44" i="5"/>
  <c r="S22" i="5"/>
  <c r="T13" i="5"/>
  <c r="T8" i="5"/>
  <c r="S12" i="5"/>
  <c r="S14" i="5"/>
  <c r="S9" i="5"/>
  <c r="S58" i="5"/>
  <c r="T72" i="5"/>
  <c r="S35" i="5"/>
  <c r="T41" i="5"/>
  <c r="T44" i="5"/>
  <c r="T50" i="5"/>
  <c r="T35" i="5"/>
  <c r="S61" i="5"/>
  <c r="T31" i="5"/>
  <c r="S45" i="5"/>
  <c r="T64" i="5"/>
  <c r="T70" i="5"/>
  <c r="T83" i="5"/>
  <c r="S65" i="5"/>
  <c r="T45" i="5"/>
  <c r="T29" i="5"/>
  <c r="T37" i="5"/>
  <c r="T39" i="5"/>
  <c r="T65" i="5"/>
  <c r="T67" i="5"/>
  <c r="T30" i="5"/>
  <c r="S28" i="5"/>
  <c r="T59" i="5"/>
  <c r="T49" i="5"/>
  <c r="T73" i="5"/>
  <c r="T63" i="5"/>
  <c r="T71" i="5"/>
  <c r="S50" i="5"/>
  <c r="S38" i="5"/>
  <c r="S21" i="5"/>
  <c r="S24" i="5"/>
  <c r="T10" i="5"/>
  <c r="G64" i="6" a="1"/>
  <c r="S42" i="5"/>
  <c r="T84" i="5"/>
  <c r="T61" i="5"/>
  <c r="T66" i="5"/>
  <c r="T76" i="5"/>
  <c r="T36" i="5"/>
  <c r="S47" i="5"/>
  <c r="T69" i="5"/>
  <c r="T47" i="5"/>
  <c r="T85" i="5"/>
  <c r="T80" i="5"/>
  <c r="T23" i="5"/>
  <c r="S39" i="5"/>
  <c r="T42" i="5"/>
  <c r="S67" i="5"/>
  <c r="T40" i="5"/>
  <c r="S25" i="5"/>
  <c r="S41" i="5"/>
  <c r="T62" i="5"/>
  <c r="T79" i="5"/>
  <c r="T57" i="5"/>
  <c r="S33" i="5"/>
  <c r="T54" i="5"/>
  <c r="S23" i="5"/>
  <c r="S80" i="5"/>
  <c r="S72" i="5"/>
  <c r="S40" i="5"/>
  <c r="S63" i="5"/>
  <c r="S60" i="5"/>
  <c r="S30" i="5"/>
  <c r="S52" i="5"/>
  <c r="T43" i="5"/>
  <c r="S6" i="5"/>
  <c r="S43" i="5"/>
  <c r="S71" i="5"/>
  <c r="T17" i="5"/>
  <c r="T7" i="5"/>
  <c r="S16" i="5"/>
  <c r="S10" i="5"/>
  <c r="S7" i="5"/>
  <c r="G64" i="6" l="1"/>
  <c r="H69" i="6"/>
  <c r="C69" i="6"/>
  <c r="B58" i="4"/>
  <c r="A41" i="6" s="1"/>
  <c r="H64" i="6" l="1"/>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<sst xmlns="http://schemas.openxmlformats.org/spreadsheetml/2006/main" count="22885" uniqueCount="15770">
  <si>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</si>
  <si>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</si>
  <si>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</si>
  <si>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</si>
  <si>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</si>
  <si>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</si>
  <si>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</si>
  <si>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</si>
  <si>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</si>
  <si>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</si>
  <si>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</si>
  <si>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</si>
  <si>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</si>
  <si>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</si>
  <si>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</si>
  <si>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</si>
  <si>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</si>
  <si>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</si>
  <si>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</si>
  <si>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</si>
  <si>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</si>
  <si>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</si>
  <si>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</si>
  <si>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</si>
  <si>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</si>
  <si>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</si>
  <si>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</si>
  <si>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</si>
  <si>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</si>
  <si>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</si>
  <si>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</si>
  <si>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</si>
  <si>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</si>
  <si>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</si>
  <si>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</si>
  <si>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</si>
  <si>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</si>
  <si>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</si>
  <si>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</si>
  <si>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</si>
  <si>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</si>
  <si>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</si>
  <si>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</si>
  <si>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</si>
  <si>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</si>
  <si>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</si>
  <si>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</si>
  <si>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</si>
  <si>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</si>
  <si>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</si>
  <si>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</si>
  <si>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</si>
  <si>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</si>
  <si>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</si>
  <si>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</si>
  <si>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</si>
  <si>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</si>
  <si>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</si>
  <si>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</si>
  <si>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</si>
  <si>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</si>
  <si>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</si>
  <si>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</si>
  <si>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</si>
  <si>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</si>
  <si>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</si>
  <si>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</si>
  <si>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</si>
  <si>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</si>
  <si>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</si>
  <si>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</si>
  <si>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</si>
  <si>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</si>
  <si>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</si>
  <si>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</si>
  <si>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</si>
  <si>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</si>
  <si>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</si>
  <si>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</si>
  <si>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</si>
  <si>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</si>
  <si>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</si>
  <si>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</si>
  <si>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</si>
  <si>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</si>
  <si>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</si>
  <si>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</si>
  <si>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</si>
  <si>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</si>
  <si>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</si>
  <si>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</si>
  <si>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</si>
  <si>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</si>
  <si>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</si>
  <si>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</si>
  <si>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</si>
  <si>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</si>
  <si>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</si>
  <si>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</si>
  <si>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</si>
  <si>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</si>
  <si>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</si>
  <si>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</si>
  <si>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</si>
  <si>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</si>
  <si>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</si>
  <si>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</si>
  <si>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</si>
  <si>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</si>
  <si>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</si>
  <si>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</si>
  <si>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</si>
  <si>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</si>
  <si>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</si>
  <si>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</si>
  <si>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</si>
  <si>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</si>
  <si>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</si>
  <si>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</si>
  <si>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</si>
  <si>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</si>
  <si>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</si>
  <si>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</si>
  <si>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</si>
  <si>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</si>
  <si>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</si>
  <si>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</si>
  <si>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</si>
  <si>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</si>
  <si>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</si>
  <si>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</si>
  <si>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</si>
  <si>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</si>
  <si>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</si>
  <si>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</si>
  <si>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</si>
  <si>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</si>
  <si>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</si>
  <si>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</si>
  <si>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</si>
  <si>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</si>
  <si>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</si>
  <si>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</si>
  <si>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</si>
  <si>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</si>
  <si>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</si>
  <si>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</si>
  <si>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</si>
  <si>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</si>
  <si>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</si>
  <si>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</si>
  <si>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</si>
  <si>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</si>
  <si>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</si>
  <si>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</si>
  <si>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</si>
  <si>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</si>
  <si>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</si>
  <si>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</si>
  <si>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</si>
  <si>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</si>
  <si>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</si>
  <si>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</si>
  <si>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</si>
  <si>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</si>
  <si>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</si>
  <si>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</si>
  <si>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</si>
  <si>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</si>
  <si>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</si>
  <si>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</si>
  <si>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</si>
  <si>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</si>
  <si>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</si>
  <si>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</si>
  <si>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</si>
  <si>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</si>
  <si>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</si>
  <si>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</si>
  <si>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</si>
  <si>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</si>
  <si>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</si>
  <si>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</si>
  <si>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</si>
  <si>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</si>
  <si>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</si>
  <si>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</si>
  <si>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</si>
  <si>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</si>
  <si>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</si>
  <si>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</si>
  <si>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</si>
  <si>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</si>
  <si>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</si>
  <si>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</si>
  <si>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</si>
  <si>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</si>
  <si>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</si>
  <si>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</si>
  <si>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</si>
  <si>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</si>
  <si>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</si>
  <si>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</si>
  <si>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</si>
  <si>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</si>
  <si>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</si>
  <si>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</si>
  <si>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</si>
  <si>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</si>
  <si>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</si>
  <si>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</si>
  <si>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</si>
  <si>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</si>
  <si>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</si>
  <si>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</si>
  <si>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</si>
  <si>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</si>
  <si>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</si>
  <si>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</si>
  <si>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</si>
  <si>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</si>
  <si>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</si>
  <si>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</si>
  <si>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</si>
  <si>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</si>
  <si>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</si>
  <si>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</si>
  <si>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</si>
  <si>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</si>
  <si>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</si>
  <si>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</si>
  <si>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</si>
  <si>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</si>
  <si>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</si>
  <si>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</si>
  <si>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</si>
  <si>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</si>
  <si>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</si>
  <si>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</si>
  <si>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</si>
  <si>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</si>
  <si>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</si>
  <si>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</si>
  <si>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</si>
  <si>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</si>
  <si>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</si>
  <si>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</si>
  <si>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</si>
  <si>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</si>
  <si>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</si>
  <si>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</si>
  <si>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</si>
  <si>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</si>
  <si>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</si>
  <si>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</si>
  <si>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</si>
  <si>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</si>
  <si>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</si>
  <si>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</si>
  <si>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</si>
  <si>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</si>
  <si>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</si>
  <si>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</si>
  <si>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</si>
  <si>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</si>
  <si>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</si>
  <si>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</si>
  <si>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</si>
  <si>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</si>
  <si>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</si>
  <si>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</si>
  <si>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</si>
  <si>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</si>
  <si>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</si>
  <si>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</si>
  <si>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</si>
  <si>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</si>
  <si>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</si>
  <si>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</si>
  <si>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</si>
  <si>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</si>
  <si>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</si>
  <si>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</si>
  <si>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</si>
  <si>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</si>
  <si>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</si>
  <si>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</si>
  <si>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</si>
  <si>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</si>
  <si>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</si>
  <si>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</si>
  <si>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</si>
  <si>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</si>
  <si>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</si>
  <si>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</si>
  <si>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</si>
  <si>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</si>
  <si>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</si>
  <si>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</si>
  <si>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</si>
  <si>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</si>
  <si>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</si>
  <si>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</si>
  <si>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</si>
  <si>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</si>
  <si>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</si>
  <si>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</si>
  <si>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</si>
  <si>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</si>
  <si>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</si>
  <si>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</si>
  <si>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</si>
  <si>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</si>
  <si>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</si>
  <si>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</si>
  <si>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</si>
  <si>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</si>
  <si>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</si>
  <si>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</si>
  <si>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</si>
  <si>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</si>
  <si>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</si>
  <si>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</si>
  <si>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</si>
  <si>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</si>
  <si>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</si>
  <si>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</si>
  <si>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</si>
  <si>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</si>
  <si>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</si>
  <si>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</si>
  <si>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</si>
  <si>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</si>
  <si>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</si>
  <si>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</si>
  <si>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</si>
  <si>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</si>
  <si>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</si>
  <si>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</si>
  <si>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</si>
  <si>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</si>
  <si>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</si>
  <si>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</si>
  <si>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</si>
  <si>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</si>
  <si>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</si>
  <si>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</si>
  <si>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</si>
  <si>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</si>
  <si>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</si>
  <si>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</si>
  <si>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</si>
  <si>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</si>
  <si>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</si>
  <si>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</si>
  <si>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</si>
  <si>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</si>
  <si>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</si>
  <si>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</si>
  <si>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</si>
  <si>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</si>
  <si>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</si>
  <si>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</si>
  <si>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</si>
  <si>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</si>
  <si>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</si>
  <si>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</si>
  <si>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</si>
  <si>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</si>
  <si>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</si>
  <si>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</si>
  <si>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</si>
  <si>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</si>
  <si>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</si>
  <si>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</si>
  <si>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</si>
  <si>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</si>
  <si>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</si>
  <si>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</si>
  <si>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</si>
  <si>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</si>
  <si>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</si>
  <si>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</si>
  <si>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</si>
  <si>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</si>
  <si>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</si>
  <si>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</si>
  <si>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</si>
  <si>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</si>
  <si>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</si>
  <si>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</si>
  <si>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</si>
  <si>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</si>
  <si>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</si>
  <si>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</si>
  <si>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</si>
  <si>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</si>
  <si>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</si>
  <si>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</si>
  <si>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</si>
  <si>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</si>
  <si>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</si>
  <si>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</si>
  <si>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</si>
  <si>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</si>
  <si>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</si>
  <si>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</si>
  <si>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</si>
  <si>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</si>
  <si>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</si>
  <si>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</si>
  <si>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</si>
  <si>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</si>
  <si>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</si>
  <si>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</si>
  <si>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</si>
  <si>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</si>
  <si>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</si>
  <si>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</si>
  <si>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</si>
  <si>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</si>
  <si>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</si>
  <si>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</si>
  <si>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</si>
  <si>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</si>
  <si>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</si>
  <si>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</si>
  <si>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</si>
  <si>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</si>
  <si>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</si>
  <si>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</si>
  <si>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</si>
  <si>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</si>
  <si>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</si>
  <si>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</si>
  <si>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</si>
  <si>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</si>
  <si>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</si>
  <si>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</si>
  <si>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</si>
  <si>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</si>
  <si>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</si>
  <si>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</si>
  <si>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</si>
  <si>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</si>
  <si>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</si>
  <si>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</si>
  <si>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</si>
  <si>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</si>
  <si>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</si>
  <si>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</si>
  <si>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</si>
  <si>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</si>
  <si>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</si>
  <si>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</si>
  <si>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</si>
  <si>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</si>
  <si>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</si>
  <si>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</si>
  <si>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</si>
  <si>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</si>
  <si>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</si>
  <si>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</si>
  <si>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</si>
  <si>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</si>
  <si>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</si>
  <si>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</si>
  <si>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</si>
  <si>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</si>
  <si>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</si>
  <si>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</si>
  <si>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</si>
  <si>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</si>
  <si>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</si>
  <si>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</si>
  <si>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</si>
  <si>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</si>
  <si>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</si>
  <si>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</si>
  <si>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</si>
  <si>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</si>
  <si>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</si>
  <si>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</si>
  <si>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</si>
  <si>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</si>
  <si>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</si>
  <si>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</si>
  <si>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</si>
  <si>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</si>
  <si>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</si>
  <si>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</si>
  <si>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</si>
  <si>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</si>
  <si>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</si>
  <si>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</si>
  <si>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</si>
  <si>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</si>
  <si>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</si>
  <si>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</si>
  <si>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</si>
  <si>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</si>
  <si>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</si>
  <si>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</si>
  <si>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</si>
  <si>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</si>
  <si>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</si>
  <si>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</si>
  <si>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</si>
  <si>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</si>
  <si>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</si>
  <si>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</si>
  <si>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</si>
  <si>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</si>
  <si>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</si>
  <si>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</si>
  <si>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</si>
  <si>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</si>
  <si>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</si>
  <si>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</si>
  <si>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</si>
  <si>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</si>
  <si>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</si>
  <si>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</si>
  <si>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</si>
  <si>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</si>
  <si>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</si>
  <si>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</si>
  <si>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</si>
  <si>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</si>
  <si>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</si>
  <si>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</si>
  <si>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</si>
  <si>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</si>
  <si>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</si>
  <si>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</si>
  <si>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</si>
  <si>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</si>
  <si>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</si>
  <si>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</si>
  <si>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</si>
  <si>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</si>
  <si>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</si>
  <si>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</si>
  <si>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</si>
  <si>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</si>
  <si>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</si>
  <si>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</si>
  <si>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</si>
  <si>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</si>
  <si>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</si>
  <si>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</si>
  <si>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</si>
  <si>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</si>
  <si>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</si>
  <si>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</si>
  <si>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</si>
  <si>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</si>
  <si>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</si>
  <si>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</si>
  <si>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</si>
  <si>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</si>
  <si>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</si>
  <si>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</si>
  <si>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</si>
  <si>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</si>
  <si>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</si>
  <si>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</si>
  <si>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</si>
  <si>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</si>
  <si>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</si>
  <si>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</si>
  <si>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</si>
  <si>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</si>
  <si>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</si>
  <si>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</si>
  <si>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</si>
  <si>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</si>
  <si>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</si>
  <si>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</si>
  <si>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</si>
  <si>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</si>
  <si>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</si>
  <si>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</si>
  <si>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</si>
  <si>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</si>
  <si>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</si>
  <si>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</si>
  <si>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</si>
  <si>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</si>
  <si>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</si>
  <si>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</si>
  <si>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</si>
  <si>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</si>
  <si>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</si>
  <si>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</si>
  <si>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</si>
  <si>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</si>
  <si>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</si>
  <si>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</si>
  <si>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</si>
  <si>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</si>
  <si>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</si>
  <si>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</si>
  <si>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</si>
  <si>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</si>
  <si>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</si>
  <si>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</si>
  <si>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</si>
  <si>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</si>
  <si>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</si>
  <si>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</si>
  <si>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</si>
  <si>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</si>
  <si>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</si>
  <si>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</si>
  <si>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</si>
  <si>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</si>
  <si>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</si>
  <si>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</si>
  <si>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</si>
  <si>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</si>
  <si>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</si>
  <si>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</si>
  <si>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</si>
  <si>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</si>
  <si>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</si>
  <si>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</si>
  <si>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</si>
  <si>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</si>
  <si>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</si>
  <si>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</si>
  <si>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</si>
  <si>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</si>
  <si>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</si>
  <si>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</si>
  <si>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</si>
  <si>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</si>
  <si>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</si>
  <si>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</si>
  <si>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</si>
  <si>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</si>
  <si>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</si>
  <si>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</si>
  <si>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</si>
  <si>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</si>
  <si>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</si>
  <si>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</si>
  <si>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</si>
  <si>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</si>
  <si>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</si>
  <si>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</si>
  <si>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</si>
  <si>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</si>
  <si>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</si>
  <si>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</si>
  <si>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</si>
  <si>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</si>
  <si>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</si>
  <si>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</si>
  <si>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</si>
  <si>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</si>
  <si>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</si>
  <si>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</si>
  <si>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</si>
  <si>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</si>
  <si>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</si>
  <si>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</si>
  <si>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</si>
  <si>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</si>
  <si>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</si>
  <si>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</si>
  <si>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</si>
  <si>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</si>
  <si>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</si>
  <si>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</si>
  <si>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</si>
  <si>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</si>
  <si>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</si>
  <si>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</si>
  <si>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</si>
  <si>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</si>
  <si>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</si>
  <si>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</si>
  <si>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</si>
  <si>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</si>
  <si>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</si>
  <si>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</si>
  <si>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</si>
  <si>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</si>
  <si>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</si>
  <si>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</si>
  <si>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</si>
  <si>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</si>
  <si>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</si>
  <si>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</si>
  <si>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</si>
  <si>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</si>
  <si>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</si>
  <si>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</si>
  <si>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</si>
  <si>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</si>
  <si>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</si>
  <si>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</si>
  <si>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</si>
  <si>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</si>
  <si>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</si>
  <si>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</si>
  <si>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</si>
  <si>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</si>
  <si>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</si>
  <si>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</si>
  <si>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</si>
  <si>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</si>
  <si>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</si>
  <si>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</si>
  <si>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</si>
  <si>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</si>
  <si>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</si>
  <si>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</si>
  <si>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</si>
  <si>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</si>
  <si>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</si>
  <si>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</si>
  <si>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</si>
  <si>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</si>
  <si>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</si>
  <si>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</si>
  <si>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</si>
  <si>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</si>
  <si>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</si>
  <si>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</si>
  <si>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</si>
  <si>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</si>
  <si>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</si>
  <si>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</si>
  <si>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</si>
  <si>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</si>
  <si>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</si>
  <si>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</si>
  <si>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</si>
  <si>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</si>
  <si>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</si>
  <si>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</si>
  <si>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</si>
  <si>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</si>
  <si>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</si>
  <si>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</si>
  <si>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</si>
  <si>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</si>
  <si>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</si>
  <si>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</si>
  <si>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</si>
  <si>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</si>
  <si>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</si>
  <si>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</si>
  <si>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</si>
  <si>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</si>
  <si>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</si>
  <si>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</si>
  <si>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</si>
  <si>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</si>
  <si>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</si>
  <si>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</si>
  <si>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</si>
  <si>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</si>
  <si>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</si>
  <si>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</si>
  <si>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</si>
  <si>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</si>
  <si>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</si>
  <si>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</si>
  <si>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</si>
  <si>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</si>
  <si>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</si>
  <si>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</si>
  <si>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</si>
  <si>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</si>
  <si>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</si>
  <si>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</si>
  <si>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</si>
  <si>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</si>
  <si>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</si>
  <si>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</si>
  <si>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</si>
  <si>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</si>
  <si>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</si>
  <si>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</si>
  <si>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</si>
  <si>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</si>
  <si>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</si>
  <si>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</si>
  <si>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</si>
  <si>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</si>
  <si>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</si>
  <si>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</si>
  <si>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</si>
  <si>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</si>
  <si>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</si>
  <si>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</si>
  <si>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</si>
  <si>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</si>
  <si>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</si>
  <si>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</si>
  <si>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</si>
  <si>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</si>
  <si>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</si>
  <si>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</si>
  <si>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</si>
  <si>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</si>
  <si>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</si>
  <si>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</si>
  <si>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</si>
  <si>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</si>
  <si>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</si>
  <si>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</si>
  <si>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</si>
  <si>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</si>
  <si>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</si>
  <si>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</si>
  <si>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</si>
  <si>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</si>
  <si>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</si>
  <si>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</si>
  <si>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</si>
  <si>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</si>
  <si>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</si>
  <si>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</si>
  <si>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</si>
  <si>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</si>
  <si>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</si>
  <si>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</si>
  <si>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</si>
  <si>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</si>
  <si>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</si>
  <si>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</si>
  <si>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</si>
  <si>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</si>
  <si>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</si>
  <si>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</si>
  <si>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</si>
  <si>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</si>
  <si>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</si>
  <si>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</si>
  <si>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</si>
  <si>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</si>
  <si>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</si>
  <si>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</si>
  <si>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</si>
  <si>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</si>
  <si>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</si>
  <si>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</si>
  <si>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</si>
  <si>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</si>
  <si>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</si>
  <si>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</si>
  <si>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</si>
  <si>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</si>
  <si>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</si>
  <si>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</si>
  <si>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</si>
  <si>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</si>
  <si>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</si>
  <si>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</si>
  <si>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</si>
  <si>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</si>
  <si>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</si>
  <si>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</si>
  <si>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</si>
  <si>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</si>
  <si>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</si>
  <si>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</si>
  <si>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</si>
  <si>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</si>
  <si>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</si>
  <si>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</si>
  <si>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</si>
  <si>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</si>
  <si>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</si>
  <si>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</si>
  <si>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</si>
  <si>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</si>
  <si>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</si>
  <si>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</si>
  <si>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</si>
  <si>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</si>
  <si>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</si>
  <si>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</si>
  <si>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</si>
  <si>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</si>
  <si>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</si>
  <si>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</si>
  <si>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</si>
  <si>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</si>
  <si>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</si>
  <si>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</si>
  <si>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</si>
  <si>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</si>
  <si>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</si>
  <si>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</si>
  <si>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</si>
  <si>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</si>
  <si>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</si>
  <si>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</si>
  <si>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</si>
  <si>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</si>
  <si>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</si>
  <si>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</si>
  <si>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</si>
  <si>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</si>
  <si>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</si>
  <si>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</si>
  <si>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</si>
  <si>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</si>
  <si>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</si>
  <si>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</si>
  <si>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</si>
  <si>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</si>
  <si>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</si>
  <si>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</si>
  <si>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</si>
  <si>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</si>
  <si>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</si>
  <si>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</si>
  <si>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</si>
  <si>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</si>
  <si>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</si>
  <si>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</si>
  <si>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</si>
  <si>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</si>
  <si>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</si>
  <si>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</si>
  <si>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</si>
  <si>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</si>
  <si>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</si>
  <si>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</si>
  <si>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</si>
  <si>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</si>
  <si>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</si>
  <si>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</si>
  <si>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</si>
  <si>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</si>
  <si>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</si>
  <si>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</si>
  <si>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</si>
  <si>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</si>
  <si>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</si>
  <si>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</si>
  <si>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</si>
  <si>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</si>
  <si>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</si>
  <si>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</si>
  <si>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</si>
  <si>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</si>
  <si>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</si>
  <si>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</si>
  <si>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</si>
  <si>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</si>
  <si>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</si>
  <si>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</si>
  <si>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</si>
  <si>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</si>
  <si>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</si>
  <si>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</si>
  <si>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</si>
  <si>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</si>
  <si>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</si>
  <si>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</si>
  <si>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</si>
  <si>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</si>
  <si>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</si>
  <si>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</si>
  <si>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</si>
  <si>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</si>
  <si>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</si>
  <si>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</si>
  <si>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</si>
  <si>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</si>
  <si>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</si>
  <si>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</si>
  <si>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</si>
  <si>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</si>
  <si>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</si>
  <si>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</si>
  <si>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</si>
  <si>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</si>
  <si>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</si>
  <si>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</si>
  <si>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</si>
  <si>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</si>
  <si>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</si>
  <si>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</si>
  <si>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</si>
  <si>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</si>
  <si>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</si>
  <si>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</si>
  <si>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</si>
  <si>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</si>
  <si>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</si>
  <si>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</si>
  <si>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</si>
  <si>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</si>
  <si>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</si>
  <si>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</si>
  <si>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</si>
  <si>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</si>
  <si>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</si>
  <si>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</si>
  <si>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</si>
  <si>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</si>
  <si>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</si>
  <si>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</si>
  <si>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</si>
  <si>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</si>
  <si>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</si>
  <si>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</si>
  <si>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</si>
  <si>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</si>
  <si>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</si>
  <si>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</si>
  <si>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</si>
  <si>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</si>
  <si>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</si>
  <si>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</si>
  <si>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</si>
  <si>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</si>
  <si>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</si>
  <si>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</si>
  <si>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</si>
  <si>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</si>
  <si>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</si>
  <si>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</si>
  <si>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</si>
  <si>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</si>
  <si>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</si>
  <si>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</si>
  <si>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</si>
  <si>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</si>
  <si>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</si>
  <si>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</si>
  <si>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</si>
  <si>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</si>
  <si>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</si>
  <si>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</si>
  <si>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</si>
  <si>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</si>
  <si>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</si>
  <si>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</si>
  <si>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</si>
  <si>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</si>
  <si>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</si>
  <si>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</si>
  <si>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</si>
  <si>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</si>
  <si>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</si>
  <si>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</si>
  <si>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</si>
  <si>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</si>
  <si>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</si>
  <si>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</si>
  <si>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</si>
  <si>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</si>
  <si>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</si>
  <si>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</si>
  <si>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</si>
  <si>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</si>
  <si>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</si>
  <si>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</si>
  <si>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</si>
  <si>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</si>
  <si>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</si>
  <si>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</si>
  <si>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</si>
  <si>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</si>
  <si>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</si>
  <si>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</si>
  <si>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</si>
  <si>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</si>
  <si>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</si>
  <si>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</si>
  <si>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</si>
  <si>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</si>
  <si>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</si>
  <si>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</si>
  <si>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</si>
  <si>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</si>
  <si>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</si>
  <si>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</si>
  <si>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</si>
  <si>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</si>
  <si>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</si>
  <si>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</si>
  <si>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</si>
  <si>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</si>
  <si>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</si>
  <si>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</si>
  <si>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</si>
  <si>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</si>
  <si>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</si>
  <si>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</si>
  <si>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</si>
  <si>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</si>
  <si>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</si>
  <si>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</si>
  <si>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</si>
  <si>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</si>
  <si>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</si>
  <si>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</si>
  <si>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</si>
  <si>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</si>
  <si>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</si>
  <si>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</si>
  <si>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</si>
  <si>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</si>
  <si>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</si>
  <si>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</si>
  <si>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</si>
  <si>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</si>
  <si>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</si>
  <si>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</si>
  <si>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</si>
  <si>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</si>
  <si>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</si>
  <si>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</si>
  <si>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</si>
  <si>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</si>
  <si>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</si>
  <si>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</si>
  <si>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</si>
  <si>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</si>
  <si>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</si>
  <si>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</si>
  <si>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</si>
  <si>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</si>
  <si>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</si>
  <si>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</si>
  <si>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</si>
  <si>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</si>
  <si>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</si>
  <si>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</si>
  <si>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</si>
  <si>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</si>
  <si>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</si>
  <si>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</si>
  <si>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</si>
  <si>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</si>
  <si>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</si>
  <si>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</si>
  <si>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</si>
  <si>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</si>
  <si>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</si>
  <si>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</si>
  <si>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</si>
  <si>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</si>
  <si>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</si>
  <si>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</si>
  <si>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</si>
  <si>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</si>
  <si>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</si>
  <si>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</si>
  <si>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</si>
  <si>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</si>
  <si>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</si>
  <si>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</si>
  <si>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</si>
  <si>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</si>
  <si>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</si>
  <si>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</si>
  <si>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</si>
  <si>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</si>
  <si>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</si>
  <si>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</si>
  <si>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</si>
  <si>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</si>
  <si>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</si>
  <si>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</si>
  <si>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</si>
  <si>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</si>
  <si>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</si>
  <si>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</si>
  <si>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</si>
  <si>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</si>
  <si>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</si>
  <si>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</si>
  <si>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</si>
  <si>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</si>
  <si>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</si>
  <si>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</si>
  <si>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</si>
  <si>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</si>
  <si>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</si>
  <si>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</si>
  <si>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</si>
  <si>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</si>
  <si>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</si>
  <si>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</si>
  <si>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</si>
  <si>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</si>
  <si>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</si>
  <si>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</si>
  <si>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</si>
  <si>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</si>
  <si>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</si>
  <si>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</si>
  <si>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</si>
  <si>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</si>
  <si>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</si>
  <si>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</si>
  <si>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</si>
  <si>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</si>
  <si>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</si>
  <si>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</si>
  <si>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</si>
  <si>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</si>
  <si>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</si>
  <si>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</si>
  <si>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</si>
  <si>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</si>
  <si>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</si>
  <si>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</si>
  <si>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</si>
  <si>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</si>
  <si>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</si>
  <si>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</si>
  <si>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</si>
  <si>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</si>
  <si>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</si>
  <si>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</si>
  <si>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</si>
  <si>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</si>
  <si>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</si>
  <si>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</si>
  <si>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</si>
  <si>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</si>
  <si>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</si>
  <si>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</si>
  <si>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</si>
  <si>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</si>
  <si>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</si>
  <si>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</si>
  <si>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</si>
  <si>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</si>
  <si>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</si>
  <si>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</si>
  <si>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</si>
  <si>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</si>
  <si>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</si>
  <si>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</si>
  <si>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</si>
  <si>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</si>
  <si>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</si>
  <si>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</si>
  <si>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</si>
  <si>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</si>
  <si>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</si>
  <si>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</si>
  <si>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</si>
  <si>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</si>
  <si>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</si>
  <si>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</si>
  <si>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</si>
  <si>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</si>
  <si>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</si>
  <si>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</si>
  <si>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</si>
  <si>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</si>
  <si>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</si>
  <si>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</si>
  <si>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</si>
  <si>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</si>
  <si>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</si>
  <si>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</si>
  <si>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</si>
  <si>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</si>
  <si>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</si>
  <si>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</si>
  <si>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</si>
  <si>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</si>
  <si>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</si>
  <si>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</si>
  <si>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</si>
  <si>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</si>
  <si>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</si>
  <si>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</si>
  <si>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</si>
  <si>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</si>
  <si>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</si>
  <si>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</si>
  <si>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</si>
  <si>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</si>
  <si>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</si>
  <si>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</si>
  <si>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</si>
  <si>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</si>
  <si>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</si>
  <si>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</si>
  <si>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</si>
  <si>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</si>
  <si>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</si>
  <si>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</si>
  <si>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</si>
  <si>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</si>
  <si>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</si>
  <si>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</si>
  <si>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</si>
  <si>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</si>
  <si>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</si>
  <si>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</si>
  <si>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</si>
  <si>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</si>
  <si>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</si>
  <si>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</si>
  <si>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</si>
  <si>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</si>
  <si>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</si>
  <si>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</si>
  <si>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</si>
  <si>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</si>
  <si>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</si>
  <si>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</si>
  <si>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</si>
  <si>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</si>
  <si>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</si>
  <si>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</si>
  <si>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</si>
  <si>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</si>
  <si>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</si>
  <si>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</si>
  <si>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</si>
  <si>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</si>
  <si>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</si>
  <si>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</si>
  <si>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</si>
  <si>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</si>
  <si>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</si>
  <si>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</si>
  <si>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</si>
  <si>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</si>
  <si>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</si>
  <si>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</si>
  <si>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</si>
  <si>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</si>
  <si>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</si>
  <si>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</si>
  <si>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</si>
  <si>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</si>
  <si>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</si>
  <si>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</si>
  <si>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</si>
  <si>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</si>
  <si>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</si>
  <si>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</si>
  <si>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</si>
  <si>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</si>
  <si>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</si>
  <si>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</si>
  <si>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</si>
  <si>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</si>
  <si>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</si>
  <si>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</si>
  <si>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</si>
  <si>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</si>
  <si>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</si>
  <si>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</si>
  <si>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</si>
  <si>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</si>
  <si>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</si>
  <si>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</si>
  <si>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</si>
  <si>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</si>
  <si>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</si>
  <si>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</si>
  <si>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</si>
  <si>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</si>
  <si>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</si>
  <si>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</si>
  <si>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</si>
  <si>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</si>
  <si>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</si>
  <si>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</si>
  <si>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</si>
  <si>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</si>
  <si>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</si>
  <si>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</si>
  <si>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</si>
  <si>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</si>
  <si>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</si>
  <si>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</si>
  <si>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</si>
  <si>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</si>
  <si>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</si>
  <si>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</si>
  <si>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</si>
  <si>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</si>
  <si>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</si>
  <si>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</si>
  <si>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</si>
  <si>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</si>
  <si>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</si>
  <si>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</si>
  <si>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</si>
  <si>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</si>
  <si>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</si>
  <si>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</si>
  <si>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</si>
  <si>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</si>
  <si>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</si>
  <si>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</si>
  <si>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</si>
  <si>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</si>
  <si>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</si>
  <si>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</si>
  <si>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</si>
  <si>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</si>
  <si>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</si>
  <si>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</si>
  <si>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</si>
  <si>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</si>
  <si>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</si>
  <si>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</si>
  <si>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</si>
  <si>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</si>
  <si>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</si>
  <si>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</si>
  <si>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</si>
  <si>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</si>
  <si>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</si>
  <si>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</si>
  <si>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</si>
  <si>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</si>
  <si>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</si>
  <si>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</si>
  <si>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</si>
  <si>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</si>
  <si>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</si>
  <si>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</si>
  <si>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</si>
  <si>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</si>
  <si>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</si>
  <si>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</si>
  <si>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</si>
  <si>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</si>
  <si>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</si>
  <si>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</si>
  <si>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</si>
  <si>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</si>
  <si>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</si>
  <si>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</si>
  <si>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</si>
  <si>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</si>
  <si>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</si>
  <si>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</si>
  <si>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</si>
  <si>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</si>
  <si>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</si>
  <si>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</si>
  <si>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</si>
  <si>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</si>
  <si>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</si>
  <si>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</si>
  <si>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</si>
  <si>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</si>
  <si>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</si>
  <si>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</si>
  <si>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</si>
  <si>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</si>
  <si>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</si>
  <si>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</si>
  <si>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</si>
  <si>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</si>
  <si>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</si>
  <si>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</si>
  <si>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</si>
  <si>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</si>
  <si>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</si>
  <si>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</si>
  <si>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</si>
  <si>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</si>
  <si>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</si>
  <si>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</si>
  <si>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</si>
  <si>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</si>
  <si>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</si>
  <si>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</si>
  <si>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</si>
  <si>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</si>
  <si>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</si>
  <si>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</si>
  <si>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</si>
  <si>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</si>
  <si>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</si>
  <si>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</si>
  <si>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</si>
  <si>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</si>
  <si>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</si>
  <si>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</si>
  <si>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</si>
  <si>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</si>
  <si>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</si>
  <si>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</si>
  <si>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</si>
  <si>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</si>
  <si>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</si>
  <si>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</si>
  <si>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</si>
  <si>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</si>
  <si>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</si>
  <si>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</si>
  <si>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</si>
  <si>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</si>
  <si>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</si>
  <si>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</si>
  <si>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</si>
  <si>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</si>
  <si>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</si>
  <si>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</si>
  <si>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</si>
  <si>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</si>
  <si>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</si>
  <si>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</si>
  <si>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</si>
  <si>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</si>
  <si>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</si>
  <si>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</si>
  <si>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</si>
  <si>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</si>
  <si>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</si>
  <si>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</si>
  <si>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</si>
  <si>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</si>
  <si>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</si>
  <si>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</si>
  <si>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</si>
  <si>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</si>
  <si>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</si>
  <si>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</si>
  <si>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</si>
  <si>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</si>
  <si>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</si>
  <si>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</si>
  <si>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</si>
  <si>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</si>
  <si>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</si>
  <si>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</si>
  <si>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</si>
  <si>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</si>
  <si>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</si>
  <si>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</si>
  <si>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</si>
  <si>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</si>
  <si>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</si>
  <si>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</si>
  <si>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</si>
  <si>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</si>
  <si>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</si>
  <si>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</si>
  <si>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</si>
  <si>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</si>
  <si>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</si>
  <si>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</si>
  <si>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</si>
  <si>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</si>
  <si>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</si>
  <si>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</si>
  <si>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</si>
  <si>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</si>
  <si>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</si>
  <si>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</si>
  <si>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</si>
  <si>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</si>
  <si>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</si>
  <si>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</si>
  <si>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</si>
  <si>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</si>
  <si>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</si>
  <si>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</si>
  <si>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</si>
  <si>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</si>
  <si>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</si>
  <si>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</si>
  <si>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</si>
  <si>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</si>
  <si>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</si>
  <si>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</si>
  <si>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</si>
  <si>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</si>
  <si>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</si>
  <si>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</si>
  <si>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</si>
  <si>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</si>
  <si>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</si>
  <si>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</si>
  <si>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</si>
  <si>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</si>
  <si>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</si>
  <si>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</si>
  <si>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</si>
  <si>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</si>
  <si>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</si>
  <si>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</si>
  <si>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</si>
  <si>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</si>
  <si>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</si>
  <si>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</si>
  <si>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</si>
  <si>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</si>
  <si>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</si>
  <si>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</si>
  <si>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</si>
  <si>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</si>
  <si>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</si>
  <si>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</si>
  <si>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</si>
  <si>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</si>
  <si>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</si>
  <si>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</si>
  <si>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</si>
  <si>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</si>
  <si>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</si>
  <si>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</si>
  <si>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</si>
  <si>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</si>
  <si>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</si>
  <si>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</si>
  <si>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</si>
  <si>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</si>
  <si>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</si>
  <si>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</si>
  <si>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</si>
  <si>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</si>
  <si>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</si>
  <si>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</si>
  <si>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</si>
  <si>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</si>
  <si>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</si>
  <si>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</si>
  <si>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</si>
  <si>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</si>
  <si>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</si>
  <si>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</si>
  <si>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</si>
  <si>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</si>
  <si>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</si>
  <si>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</si>
  <si>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</si>
  <si>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</si>
  <si>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</si>
  <si>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</si>
  <si>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</si>
  <si>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</si>
  <si>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</si>
  <si>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</si>
  <si>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</si>
  <si>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</si>
  <si>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</si>
  <si>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</si>
  <si>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</si>
  <si>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</si>
  <si>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</si>
  <si>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</si>
  <si>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</si>
  <si>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</si>
  <si>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</si>
  <si>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</si>
  <si>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</si>
  <si>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</si>
  <si>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</si>
  <si>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</si>
  <si>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</si>
  <si>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</si>
  <si>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</si>
  <si>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</si>
  <si>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</si>
  <si>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</si>
  <si>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</si>
  <si>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</si>
  <si>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</si>
  <si>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</si>
  <si>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</si>
  <si>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</si>
  <si>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</si>
  <si>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</si>
  <si>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</si>
  <si>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</si>
  <si>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</si>
  <si>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</si>
  <si>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</si>
  <si>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</si>
  <si>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</si>
  <si>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</si>
  <si>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</si>
  <si>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</si>
  <si>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</si>
  <si>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</si>
  <si>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</si>
  <si>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</si>
  <si>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</si>
  <si>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</si>
  <si>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</si>
  <si>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</si>
  <si>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</si>
  <si>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</si>
  <si>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</si>
  <si>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</si>
  <si>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</si>
  <si>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</si>
  <si>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</si>
  <si>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</si>
  <si>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</si>
  <si>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</si>
  <si>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</si>
  <si>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</si>
  <si>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</si>
  <si>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</si>
  <si>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</si>
  <si>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</si>
  <si>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</si>
  <si>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</si>
  <si>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</si>
  <si>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</si>
  <si>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</si>
  <si>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</si>
  <si>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</si>
  <si>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</si>
  <si>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</si>
  <si>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</si>
  <si>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</si>
  <si>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</si>
  <si>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</si>
  <si>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</si>
  <si>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</si>
  <si>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</si>
  <si>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</si>
  <si>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</si>
  <si>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</si>
  <si>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</si>
  <si>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</si>
  <si>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</si>
  <si>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</si>
  <si>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</si>
  <si>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</si>
  <si>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</si>
  <si>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</si>
  <si>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</si>
  <si>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</si>
  <si>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</si>
  <si>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</si>
  <si>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</si>
  <si>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</si>
  <si>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</si>
  <si>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</si>
  <si>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</si>
  <si>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</si>
  <si>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</si>
  <si>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</si>
  <si>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</si>
  <si>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</si>
  <si>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</si>
  <si>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</si>
  <si>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</si>
  <si>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</si>
  <si>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</si>
  <si>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</si>
  <si>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</si>
  <si>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</si>
  <si>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</si>
  <si>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</si>
  <si>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</si>
  <si>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</si>
  <si>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</si>
  <si>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</si>
  <si>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</si>
  <si>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</si>
  <si>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</si>
  <si>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</si>
  <si>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</si>
  <si>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</si>
  <si>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</si>
  <si>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</si>
  <si>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</si>
  <si>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</si>
  <si>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</si>
  <si>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</si>
  <si>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</si>
  <si>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</si>
  <si>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</si>
  <si>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</si>
  <si>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</si>
  <si>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</si>
  <si>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</si>
  <si>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</si>
  <si>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</si>
  <si>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</si>
  <si>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</si>
  <si>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</si>
  <si>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</si>
  <si>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</si>
  <si>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</si>
  <si>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</si>
  <si>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</si>
  <si>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</si>
  <si>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</si>
  <si>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</si>
  <si>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</si>
  <si>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</si>
  <si>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</si>
  <si>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</si>
  <si>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</si>
  <si>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</si>
  <si>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</si>
  <si>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</si>
  <si>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</si>
  <si>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</si>
  <si>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</si>
  <si>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</si>
  <si>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</si>
  <si>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</si>
  <si>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</si>
  <si>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</si>
  <si>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</si>
  <si>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</si>
  <si>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</si>
  <si>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</si>
  <si>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</si>
  <si>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</si>
  <si>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</si>
  <si>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</si>
  <si>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</si>
  <si>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</si>
  <si>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</si>
  <si>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</si>
  <si>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</si>
  <si>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</si>
  <si>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</si>
  <si>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</si>
  <si>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</si>
  <si>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</si>
  <si>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</si>
  <si>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</si>
  <si>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</si>
  <si>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</si>
  <si>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</si>
  <si>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</si>
  <si>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</si>
  <si>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</si>
  <si>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</si>
  <si>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</si>
  <si>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</si>
  <si>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</si>
  <si>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</si>
  <si>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</si>
  <si>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</si>
  <si>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</si>
  <si>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</si>
  <si>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</si>
  <si>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</si>
  <si>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</si>
  <si>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</si>
  <si>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</si>
  <si>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</si>
  <si>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</si>
  <si>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</si>
  <si>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</si>
  <si>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</si>
  <si>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</si>
  <si>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</si>
  <si>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</si>
  <si>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</si>
  <si>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</si>
  <si>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</si>
  <si>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</si>
  <si>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</si>
  <si>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</si>
  <si>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</si>
  <si>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</si>
  <si>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</si>
  <si>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</si>
  <si>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</si>
  <si>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</si>
  <si>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</si>
  <si>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</si>
  <si>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</si>
  <si>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</si>
  <si>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</si>
  <si>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</si>
  <si>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</si>
  <si>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</si>
  <si>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</si>
  <si>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</si>
  <si>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</si>
  <si>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</si>
  <si>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</si>
  <si>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</si>
  <si>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</si>
  <si>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</si>
  <si>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</si>
  <si>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</si>
  <si>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</si>
  <si>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</si>
  <si>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</si>
  <si>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</si>
  <si>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</si>
  <si>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</si>
  <si>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</si>
  <si>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</si>
  <si>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</si>
  <si>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</si>
  <si>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</si>
  <si>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</si>
  <si>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</si>
  <si>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</si>
  <si>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</si>
  <si>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</si>
  <si>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</si>
  <si>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</si>
  <si>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</si>
  <si>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</si>
  <si>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</si>
  <si>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</si>
  <si>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</si>
  <si>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</si>
  <si>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</si>
  <si>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</si>
  <si>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</si>
  <si>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</si>
  <si>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</si>
  <si>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</si>
  <si>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</si>
  <si>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</si>
  <si>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</si>
  <si>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</si>
  <si>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</si>
  <si>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</si>
  <si>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</si>
  <si>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</si>
  <si>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</si>
  <si>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</si>
  <si>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</si>
  <si>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</si>
  <si>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</si>
  <si>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</si>
  <si>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</si>
  <si>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</si>
  <si>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</si>
  <si>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</si>
  <si>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</si>
  <si>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</si>
  <si>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</si>
  <si>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</si>
  <si>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</si>
  <si>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</si>
  <si>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</si>
  <si>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</si>
  <si>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</si>
  <si>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</si>
  <si>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</si>
  <si>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</si>
  <si>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</si>
  <si>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</si>
  <si>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</si>
  <si>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</si>
  <si>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</si>
  <si>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</si>
  <si>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</si>
  <si>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</si>
  <si>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</si>
  <si>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</si>
  <si>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</si>
  <si>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</si>
  <si>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</si>
  <si>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</si>
  <si>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</si>
  <si>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</si>
  <si>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</si>
  <si>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</si>
  <si>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</si>
  <si>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</si>
  <si>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</si>
  <si>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</si>
  <si>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</si>
  <si>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</si>
  <si>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</si>
  <si>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</si>
  <si>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</si>
  <si>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</si>
  <si>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</si>
  <si>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</si>
  <si>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</si>
  <si>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</si>
  <si>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</si>
  <si>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</si>
  <si>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</si>
  <si>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</si>
  <si>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</si>
  <si>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</si>
  <si>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</si>
  <si>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</si>
  <si>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</si>
  <si>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</si>
  <si>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</si>
  <si>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</si>
  <si>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</si>
  <si>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</si>
  <si>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</si>
  <si>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</si>
  <si>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</si>
  <si>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</si>
  <si>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</si>
  <si>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</si>
  <si>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</si>
  <si>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</si>
  <si>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</si>
  <si>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</si>
  <si>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</si>
  <si>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</si>
  <si>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</si>
  <si>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</si>
  <si>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</si>
  <si>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</si>
  <si>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</si>
  <si>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</si>
  <si>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</si>
  <si>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</si>
  <si>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</si>
  <si>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</si>
  <si>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</si>
  <si>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</si>
  <si>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</si>
  <si>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</si>
  <si>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</si>
  <si>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</si>
  <si>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</si>
  <si>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</si>
  <si>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</si>
  <si>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</si>
  <si>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</si>
  <si>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</si>
  <si>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</si>
  <si>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</si>
  <si>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</si>
  <si>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</si>
  <si>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</si>
  <si>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</si>
  <si>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</si>
  <si>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</si>
  <si>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</si>
  <si>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</si>
  <si>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</si>
  <si>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</si>
  <si>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</si>
  <si>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</si>
  <si>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</si>
  <si>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</si>
  <si>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</si>
  <si>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</si>
  <si>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</si>
  <si>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</si>
  <si>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</si>
  <si>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</si>
  <si>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</si>
  <si>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</si>
  <si>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</si>
  <si>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</si>
  <si>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</si>
  <si>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</si>
  <si>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</si>
  <si>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</si>
  <si>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</si>
  <si>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</si>
  <si>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</si>
  <si>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</si>
  <si>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</si>
  <si>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</si>
  <si>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</si>
  <si>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</si>
  <si>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</si>
  <si>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</si>
  <si>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</si>
  <si>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</si>
  <si>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</si>
  <si>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</si>
  <si>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</si>
  <si>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</si>
  <si>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</si>
  <si>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</si>
  <si>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</si>
  <si>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</si>
  <si>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</si>
  <si>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</si>
  <si>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</si>
  <si>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</si>
  <si>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</si>
  <si>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</si>
  <si>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</si>
  <si>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</si>
  <si>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</si>
  <si>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</si>
  <si>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</si>
  <si>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</si>
  <si>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</si>
  <si>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</si>
  <si>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</si>
  <si>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</si>
  <si>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</si>
  <si>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</si>
  <si>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</si>
  <si>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</si>
  <si>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</si>
  <si>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</si>
  <si>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</si>
  <si>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</si>
  <si>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</si>
  <si>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</si>
  <si>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</si>
  <si>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</si>
  <si>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</si>
  <si>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</si>
  <si>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</si>
  <si>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</si>
  <si>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</si>
  <si>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</si>
  <si>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</si>
  <si>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</si>
  <si>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</si>
  <si>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</si>
  <si>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</si>
  <si>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</si>
  <si>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</si>
  <si>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</si>
  <si>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</si>
  <si>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</si>
  <si>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</si>
  <si>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</si>
  <si>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</si>
  <si>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</si>
  <si>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</si>
  <si>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</si>
  <si>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</si>
  <si>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</si>
  <si>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</si>
  <si>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</si>
  <si>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</si>
  <si>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</si>
  <si>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</si>
  <si>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</si>
  <si>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</si>
  <si>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</si>
  <si>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</si>
  <si>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</si>
  <si>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</si>
  <si>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</si>
  <si>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</si>
  <si>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</si>
  <si>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</si>
  <si>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</si>
  <si>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</si>
  <si>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</si>
  <si>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</si>
  <si>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</si>
  <si>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</si>
  <si>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</si>
  <si>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</si>
  <si>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</si>
  <si>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</si>
  <si>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</si>
  <si>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</si>
  <si>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</si>
  <si>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</si>
  <si>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</si>
  <si>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</si>
  <si>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</si>
  <si>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</si>
  <si>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</si>
  <si>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</si>
  <si>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</si>
  <si>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</si>
  <si>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</si>
  <si>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</si>
  <si>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</si>
  <si>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</si>
  <si>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</si>
  <si>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</si>
  <si>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</si>
  <si>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</si>
  <si>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</si>
  <si>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</si>
  <si>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</si>
  <si>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</si>
  <si>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</si>
  <si>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</si>
  <si>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</si>
  <si>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</si>
  <si>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</si>
  <si>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</si>
  <si>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</si>
  <si>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</si>
  <si>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</si>
  <si>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</si>
  <si>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</si>
  <si>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</si>
  <si>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</si>
  <si>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</si>
  <si>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</si>
  <si>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</si>
  <si>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</si>
  <si>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</si>
  <si>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</si>
  <si>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</si>
  <si>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</si>
  <si>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</si>
  <si>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</si>
  <si>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</si>
  <si>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</si>
  <si>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</si>
  <si>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</si>
  <si>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</si>
  <si>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</si>
  <si>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</si>
  <si>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</si>
  <si>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</si>
  <si>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</si>
  <si>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</si>
  <si>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</si>
  <si>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</si>
  <si>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</si>
  <si>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</si>
  <si>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</si>
  <si>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</si>
  <si>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</si>
  <si>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</si>
  <si>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</si>
  <si>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</si>
  <si>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</si>
  <si>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</si>
  <si>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</si>
  <si>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</si>
  <si>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</si>
  <si>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</si>
  <si>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</si>
  <si>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</si>
  <si>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</si>
  <si>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</si>
  <si>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</si>
  <si>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</si>
  <si>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</si>
  <si>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</si>
  <si>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</si>
  <si>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</si>
  <si>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</si>
  <si>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</si>
  <si>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</si>
  <si>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</si>
  <si>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</si>
  <si>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</si>
  <si>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</si>
  <si>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</si>
  <si>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</si>
  <si>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</si>
  <si>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</si>
  <si>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</si>
  <si>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</si>
  <si>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</si>
  <si>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</si>
  <si>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</si>
  <si>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</si>
  <si>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</si>
  <si>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</si>
  <si>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</si>
  <si>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</si>
  <si>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</si>
  <si>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</si>
  <si>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</si>
  <si>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</si>
  <si>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</si>
  <si>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</si>
  <si>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</si>
  <si>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</si>
  <si>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</si>
  <si>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</si>
  <si>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</si>
  <si>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</si>
  <si>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</si>
  <si>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</si>
  <si>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</si>
  <si>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</si>
  <si>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</si>
  <si>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</si>
  <si>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</si>
  <si>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</si>
  <si>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</si>
  <si>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</si>
  <si>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</si>
  <si>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</si>
  <si>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</si>
  <si>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</si>
  <si>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</si>
  <si>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</si>
  <si>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</si>
  <si>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</si>
  <si>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</si>
  <si>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</si>
  <si>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</si>
  <si>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</si>
  <si>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</si>
  <si>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</si>
  <si>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</si>
  <si>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</si>
  <si>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</si>
  <si>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</si>
  <si>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</si>
  <si>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</si>
  <si>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</si>
  <si>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</si>
  <si>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</si>
  <si>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</si>
  <si>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</si>
  <si>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</si>
  <si>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</si>
  <si>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</si>
  <si>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</si>
  <si>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</si>
  <si>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</si>
  <si>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</si>
  <si>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</si>
  <si>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</si>
  <si>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</si>
  <si>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</si>
  <si>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</si>
  <si>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</si>
  <si>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</si>
  <si>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</si>
  <si>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</si>
  <si>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</si>
  <si>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</si>
  <si>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</si>
  <si>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</si>
  <si>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</si>
  <si>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</si>
  <si>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</si>
  <si>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</si>
  <si>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</si>
  <si>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</si>
  <si>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</si>
  <si>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</si>
  <si>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</si>
  <si>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</si>
  <si>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</si>
  <si>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</si>
  <si>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</si>
  <si>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</si>
  <si>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</si>
  <si>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</si>
  <si>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</si>
  <si>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</si>
  <si>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</si>
  <si>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</si>
  <si>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</si>
  <si>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</si>
  <si>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</si>
  <si>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</si>
  <si>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</si>
  <si>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</si>
  <si>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</si>
  <si>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</si>
  <si>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</si>
  <si>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</si>
  <si>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</si>
  <si>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</si>
  <si>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</si>
  <si>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</si>
  <si>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</si>
  <si>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</si>
  <si>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</si>
  <si>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</si>
  <si>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</si>
  <si>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</si>
  <si>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</si>
  <si>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</si>
  <si>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</si>
  <si>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</si>
  <si>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</si>
  <si>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</si>
  <si>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</si>
  <si>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</si>
  <si>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</si>
  <si>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</si>
  <si>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</si>
  <si>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</si>
  <si>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</si>
  <si>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</si>
  <si>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</si>
  <si>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</si>
  <si>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</si>
  <si>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</si>
  <si>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</si>
  <si>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</si>
  <si>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</si>
  <si>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</si>
  <si>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</si>
  <si>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</si>
  <si>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</si>
  <si>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</si>
  <si>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</si>
  <si>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</si>
  <si>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</si>
  <si>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</si>
  <si>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</si>
  <si>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</si>
  <si>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</si>
  <si>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</si>
  <si>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</si>
  <si>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</si>
  <si>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</si>
  <si>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</si>
  <si>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</si>
  <si>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</si>
  <si>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</si>
  <si>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</si>
  <si>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</si>
  <si>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</si>
  <si>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</si>
  <si>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</si>
  <si>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</si>
  <si>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</si>
  <si>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</si>
  <si>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</si>
  <si>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</si>
  <si>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</si>
  <si>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</si>
  <si>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</si>
  <si>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</si>
  <si>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</si>
  <si>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</si>
  <si>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</si>
  <si>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</si>
  <si>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</si>
  <si>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</si>
  <si>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</si>
  <si>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</si>
  <si>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</si>
  <si>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</si>
  <si>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</si>
  <si>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</si>
  <si>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</si>
  <si>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</si>
  <si>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</si>
  <si>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</si>
  <si>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</si>
  <si>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</si>
  <si>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</si>
  <si>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</si>
  <si>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</si>
  <si>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</si>
  <si>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</si>
  <si>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</si>
  <si>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</si>
  <si>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</si>
  <si>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</si>
  <si>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</si>
  <si>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</si>
  <si>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</si>
  <si>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</si>
  <si>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</si>
  <si>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</si>
  <si>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</si>
  <si>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</si>
  <si>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</si>
  <si>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</si>
  <si>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</si>
  <si>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</si>
  <si>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</si>
  <si>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</si>
  <si>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</si>
  <si>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</si>
  <si>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</si>
  <si>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</si>
  <si>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</si>
  <si>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</si>
  <si>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</si>
  <si>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</si>
  <si>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</si>
  <si>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</si>
  <si>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</si>
  <si>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</si>
  <si>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</si>
  <si>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</si>
  <si>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</si>
  <si>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</si>
  <si>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</si>
  <si>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</si>
  <si>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</si>
  <si>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</si>
  <si>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</si>
  <si>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</si>
  <si>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</si>
  <si>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</si>
  <si>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</si>
  <si>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</si>
  <si>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</si>
  <si>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</si>
  <si>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</si>
  <si>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</si>
  <si>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</si>
  <si>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</si>
  <si>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</si>
  <si>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</si>
  <si>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</si>
  <si>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</si>
  <si>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</si>
  <si>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</si>
  <si>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</si>
  <si>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</si>
  <si>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</si>
  <si>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</si>
  <si>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</si>
  <si>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</si>
  <si>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</si>
  <si>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</si>
  <si>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</si>
  <si>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</si>
  <si>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</si>
  <si>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</si>
  <si>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</si>
  <si>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</si>
  <si>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</si>
  <si>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</si>
  <si>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</si>
  <si>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</si>
  <si>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</si>
  <si>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</si>
  <si>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</si>
  <si>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</si>
  <si>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</si>
  <si>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</si>
  <si>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</si>
  <si>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</si>
  <si>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</si>
  <si>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</si>
  <si>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</si>
  <si>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</si>
  <si>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</si>
  <si>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</si>
  <si>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</si>
  <si>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</si>
  <si>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</si>
  <si>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</si>
  <si>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</si>
  <si>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</si>
  <si>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</si>
  <si>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</si>
  <si>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</si>
  <si>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</si>
  <si>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</si>
  <si>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</si>
  <si>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</si>
  <si>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</si>
  <si>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</si>
  <si>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</si>
  <si>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</si>
  <si>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</si>
  <si>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</si>
  <si>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</si>
  <si>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</si>
  <si>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</si>
  <si>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</si>
  <si>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</si>
  <si>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</si>
  <si>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</si>
  <si>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</si>
  <si>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</si>
  <si>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</si>
  <si>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</si>
  <si>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</si>
  <si>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</si>
  <si>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</si>
  <si>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</si>
  <si>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</si>
  <si>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</si>
  <si>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</si>
  <si>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</si>
  <si>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</si>
  <si>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</si>
  <si>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</si>
  <si>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</si>
  <si>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</si>
  <si>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</si>
  <si>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</si>
  <si>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</si>
  <si>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</si>
  <si>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</si>
  <si>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</si>
  <si>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</si>
  <si>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</si>
  <si>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</si>
  <si>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</si>
  <si>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</si>
  <si>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</si>
  <si>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</si>
  <si>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</si>
  <si>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</si>
  <si>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</si>
  <si>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</si>
  <si>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</si>
  <si>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</si>
  <si>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</si>
  <si>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</si>
  <si>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</si>
  <si>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</si>
  <si>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</si>
  <si>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</si>
  <si>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</si>
  <si>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</si>
  <si>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</si>
  <si>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</si>
  <si>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</si>
  <si>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</si>
  <si>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</si>
  <si>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</si>
  <si>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</si>
  <si>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</si>
  <si>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</si>
  <si>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</si>
  <si>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</si>
  <si>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</si>
  <si>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</si>
  <si>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</si>
  <si>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</si>
  <si>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</si>
  <si>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</si>
  <si>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</si>
  <si>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</si>
  <si>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</si>
  <si>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</si>
  <si>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</si>
  <si>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</si>
  <si>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</si>
  <si>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</si>
  <si>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</si>
  <si>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</si>
  <si>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</si>
  <si>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</si>
  <si>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</si>
  <si>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</si>
  <si>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</si>
  <si>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</si>
  <si>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</si>
  <si>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</si>
  <si>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</si>
  <si>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</si>
  <si>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</si>
  <si>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</si>
  <si>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</si>
  <si>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</si>
  <si>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</si>
  <si>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</si>
  <si>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</si>
  <si>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</si>
  <si>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</si>
  <si>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</si>
  <si>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</si>
  <si>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</si>
  <si>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</si>
  <si>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</si>
  <si>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</si>
  <si>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</si>
  <si>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</si>
  <si>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</si>
  <si>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</si>
  <si>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</si>
  <si>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</si>
  <si>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</si>
  <si>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</si>
  <si>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</si>
  <si>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</si>
  <si>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</si>
  <si>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</si>
  <si>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</si>
  <si>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</si>
  <si>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</si>
  <si>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</si>
  <si>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</si>
  <si>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</si>
  <si>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</si>
  <si>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</si>
  <si>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</si>
  <si>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</si>
  <si>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</si>
  <si>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</si>
  <si>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</si>
  <si>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</si>
  <si>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</si>
  <si>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</si>
  <si>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</si>
  <si>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</si>
  <si>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</si>
  <si>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</si>
  <si>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</si>
  <si>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</si>
  <si>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</si>
  <si>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</si>
  <si>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</si>
  <si>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</si>
  <si>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</si>
  <si>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</si>
  <si>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</si>
  <si>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</si>
  <si>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</si>
  <si>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</si>
  <si>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</si>
  <si>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</si>
  <si>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</si>
  <si>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</si>
  <si>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</si>
  <si>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</si>
  <si>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</si>
  <si>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</si>
  <si>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</si>
  <si>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</si>
  <si>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</si>
  <si>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</si>
  <si>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</si>
  <si>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</si>
  <si>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</si>
  <si>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</si>
  <si>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</si>
  <si>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</si>
  <si>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</si>
  <si>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</si>
  <si>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</si>
  <si>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</si>
  <si>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</si>
  <si>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</si>
  <si>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</si>
  <si>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</si>
  <si>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</si>
  <si>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</si>
  <si>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</si>
  <si>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</si>
  <si>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</si>
  <si>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</si>
  <si>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</si>
  <si>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</si>
  <si>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</si>
  <si>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</si>
  <si>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</si>
  <si>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</si>
  <si>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</si>
  <si>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</si>
  <si>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</si>
  <si>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</si>
  <si>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</si>
  <si>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</si>
  <si>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</si>
  <si>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</si>
  <si>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</si>
  <si>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</si>
  <si>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</si>
  <si>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</si>
  <si>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</si>
  <si>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</si>
  <si>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</si>
  <si>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</si>
  <si>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</si>
  <si>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</si>
  <si>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</si>
  <si>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</si>
  <si>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</si>
  <si>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</si>
  <si>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</si>
  <si>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</si>
  <si>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</si>
  <si>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</si>
  <si>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</si>
  <si>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</si>
  <si>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</si>
  <si>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</si>
  <si>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</si>
  <si>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</si>
  <si>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</si>
  <si>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</si>
  <si>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</si>
  <si>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</si>
  <si>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</si>
  <si>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</si>
  <si>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</si>
  <si>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</si>
  <si>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</si>
  <si>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</si>
  <si>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</si>
  <si>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</si>
  <si>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</si>
  <si>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</si>
  <si>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</si>
  <si>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</si>
  <si>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</si>
  <si>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</si>
  <si>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</si>
  <si>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</si>
  <si>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</si>
  <si>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</si>
  <si>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</si>
  <si>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</si>
  <si>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</si>
  <si>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</si>
  <si>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</si>
  <si>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</si>
  <si>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</si>
  <si>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</si>
  <si>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</si>
  <si>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</si>
  <si>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</si>
  <si>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</si>
  <si>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</si>
  <si>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</si>
  <si>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</si>
  <si>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</si>
  <si>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</si>
  <si>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</si>
  <si>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</si>
  <si>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</si>
  <si>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</si>
  <si>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</si>
  <si>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</si>
  <si>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</si>
  <si>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</si>
  <si>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</si>
  <si>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</si>
  <si>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</si>
  <si>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</si>
  <si>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</si>
  <si>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</si>
  <si>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</si>
  <si>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</si>
  <si>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</si>
  <si>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</si>
  <si>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</si>
  <si>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</si>
  <si>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</si>
  <si>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</si>
  <si>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</si>
  <si>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</si>
  <si>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</si>
  <si>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</si>
  <si>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</si>
  <si>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</si>
  <si>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</si>
  <si>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</si>
  <si>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</si>
  <si>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</si>
  <si>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</si>
  <si>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</si>
  <si>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</si>
  <si>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</si>
  <si>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</si>
  <si>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</si>
  <si>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</si>
  <si>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</si>
  <si>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</si>
  <si>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</si>
  <si>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</si>
  <si>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</si>
  <si>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</si>
  <si>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</si>
  <si>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</si>
  <si>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</si>
  <si>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</si>
  <si>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</si>
  <si>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</si>
  <si>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</si>
  <si>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</si>
  <si>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</si>
  <si>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</si>
  <si>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</si>
  <si>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</si>
  <si>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</si>
  <si>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</si>
  <si>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</si>
  <si>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</si>
  <si>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</si>
  <si>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</si>
  <si>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</si>
  <si>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</si>
  <si>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</si>
  <si>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</si>
  <si>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</si>
  <si>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</si>
  <si>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</si>
  <si>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</si>
  <si>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</si>
  <si>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</si>
  <si>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</si>
  <si>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</si>
  <si>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</si>
  <si>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</si>
  <si>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</si>
  <si>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</si>
  <si>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</si>
  <si>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</si>
  <si>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</si>
  <si>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</si>
  <si>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</si>
  <si>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</si>
  <si>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</si>
  <si>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</si>
  <si>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</si>
  <si>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</si>
  <si>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</si>
  <si>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</si>
  <si>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</si>
  <si>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</si>
  <si>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</si>
  <si>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</si>
  <si>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</si>
  <si>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</si>
  <si>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</si>
  <si>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</si>
  <si>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</si>
  <si>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</si>
  <si>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</si>
  <si>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</si>
  <si>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</si>
  <si>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</si>
  <si>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</si>
  <si>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</si>
  <si>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</si>
  <si>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</si>
  <si>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</si>
  <si>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</si>
  <si>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</si>
  <si>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</si>
  <si>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</si>
  <si>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</si>
  <si>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</si>
  <si>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</si>
  <si>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</si>
  <si>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</si>
  <si>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</si>
  <si>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</si>
  <si>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</si>
  <si>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</si>
  <si>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</si>
  <si>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</si>
  <si>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</si>
  <si>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</si>
  <si>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</si>
  <si>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</si>
  <si>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</si>
  <si>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</si>
  <si>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</si>
  <si>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</si>
  <si>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</si>
  <si>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</si>
  <si>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</si>
  <si>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</si>
  <si>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</si>
  <si>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</si>
  <si>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</si>
  <si>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</si>
  <si>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</si>
  <si>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</si>
  <si>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</si>
  <si>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</si>
  <si>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</si>
  <si>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</si>
  <si>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</si>
  <si>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</si>
  <si>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</si>
  <si>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</si>
  <si>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</si>
  <si>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</si>
  <si>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</si>
  <si>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</si>
  <si>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</si>
  <si>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</si>
  <si>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</si>
  <si>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</si>
  <si>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</si>
  <si>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</si>
  <si>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</si>
  <si>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</si>
  <si>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</si>
  <si>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</si>
  <si>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</si>
  <si>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</si>
  <si>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</si>
  <si>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</si>
  <si>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</si>
  <si>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</si>
  <si>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</si>
  <si>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</si>
  <si>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</si>
  <si>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</si>
  <si>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</si>
  <si>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</si>
  <si>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</si>
  <si>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</si>
  <si>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</si>
  <si>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</si>
  <si>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</si>
  <si>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</si>
  <si>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</si>
  <si>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</si>
  <si>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</si>
  <si>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</si>
  <si>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</si>
  <si>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</si>
  <si>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</si>
  <si>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</si>
  <si>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</si>
  <si>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</si>
  <si>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</si>
  <si>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</si>
  <si>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</si>
  <si>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</si>
  <si>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</si>
  <si>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</si>
  <si>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</si>
  <si>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</si>
  <si>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</si>
  <si>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</si>
  <si>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</si>
  <si>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</si>
  <si>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</si>
  <si>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</si>
  <si>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</si>
  <si>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</si>
  <si>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</si>
  <si>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</si>
  <si>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</si>
  <si>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</si>
  <si>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</si>
  <si>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</si>
  <si>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</si>
  <si>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</si>
  <si>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</si>
  <si>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</si>
  <si>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</si>
  <si>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</si>
  <si>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</si>
  <si>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</si>
  <si>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</si>
  <si>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</si>
  <si>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</si>
  <si>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</si>
  <si>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</si>
  <si>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</si>
  <si>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</si>
  <si>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</si>
  <si>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</si>
  <si>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</si>
  <si>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</si>
  <si>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</si>
  <si>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</si>
  <si>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</si>
  <si>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</si>
  <si>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</si>
  <si>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</si>
  <si>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</si>
  <si>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</si>
  <si>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</si>
  <si>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</si>
  <si>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</si>
  <si>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</si>
  <si>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</si>
  <si>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</si>
  <si>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</si>
  <si>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</si>
  <si>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</si>
  <si>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</si>
  <si>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</si>
  <si>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</si>
  <si>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</si>
  <si>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</si>
  <si>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</si>
  <si>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</si>
  <si>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</si>
  <si>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</si>
  <si>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</si>
  <si>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</si>
  <si>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</si>
  <si>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</si>
  <si>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</si>
  <si>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</si>
  <si>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</si>
  <si>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</si>
  <si>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</si>
  <si>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</si>
  <si>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</si>
  <si>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</si>
  <si>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</si>
  <si>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</si>
  <si>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</si>
  <si>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</si>
  <si>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</si>
  <si>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</si>
  <si>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</si>
  <si>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</si>
  <si>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</si>
  <si>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</si>
  <si>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</si>
  <si>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</si>
  <si>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</si>
  <si>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</si>
  <si>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</si>
  <si>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</si>
  <si>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</si>
  <si>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</si>
  <si>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</si>
  <si>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</si>
  <si>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</si>
  <si>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</si>
  <si>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</si>
  <si>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</si>
  <si>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</si>
  <si>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</si>
  <si>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</si>
  <si>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</si>
  <si>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</si>
  <si>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</si>
  <si>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</si>
  <si>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</si>
  <si>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</si>
  <si>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</si>
  <si>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</si>
  <si>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</si>
  <si>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</si>
  <si>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</si>
  <si>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</si>
  <si>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</si>
  <si>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</si>
  <si>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</si>
  <si>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</si>
  <si>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</si>
  <si>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</si>
  <si>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</si>
  <si>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</si>
  <si>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</si>
  <si>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</si>
  <si>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</si>
  <si>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</si>
  <si>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</si>
  <si>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</si>
  <si>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</si>
  <si>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</si>
  <si>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</si>
  <si>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</si>
  <si>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</si>
  <si>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</si>
  <si>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</si>
  <si>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</si>
  <si>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</si>
  <si>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</si>
  <si>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</si>
  <si>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</si>
  <si>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</si>
  <si>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</si>
  <si>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</si>
  <si>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</si>
  <si>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</si>
  <si>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</si>
  <si>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</si>
  <si>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</si>
  <si>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</si>
  <si>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</si>
  <si>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</si>
  <si>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</si>
  <si>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</si>
  <si>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</si>
  <si>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</si>
  <si>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</si>
  <si>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</si>
  <si>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</si>
  <si>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</si>
  <si>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</si>
  <si>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</si>
  <si>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</si>
  <si>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</si>
  <si>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</si>
  <si>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</si>
  <si>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</si>
  <si>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</si>
  <si>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</si>
  <si>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</si>
  <si>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</si>
  <si>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</si>
  <si>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</si>
  <si>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</si>
  <si>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</si>
  <si>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</si>
  <si>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</si>
  <si>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</si>
  <si>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</si>
  <si>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</si>
  <si>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</si>
  <si>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</si>
  <si>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</si>
  <si>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</si>
  <si>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</si>
  <si>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</si>
  <si>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</si>
  <si>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</si>
  <si>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</si>
  <si>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</si>
  <si>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</si>
  <si>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</si>
  <si>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</si>
  <si>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</si>
  <si>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</si>
  <si>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</si>
  <si>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</si>
  <si>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</si>
  <si>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</si>
  <si>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</si>
  <si>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</si>
  <si>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</si>
  <si>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</si>
  <si>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</si>
  <si>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</si>
  <si>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</si>
  <si>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</si>
  <si>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</si>
  <si>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</si>
  <si>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</si>
  <si>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</si>
  <si>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</si>
  <si>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</si>
  <si>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</si>
  <si>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</si>
  <si>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</si>
  <si>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</si>
  <si>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</si>
  <si>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</si>
  <si>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</si>
  <si>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</si>
  <si>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</si>
  <si>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</si>
  <si>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</si>
  <si>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</si>
  <si>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</si>
  <si>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</si>
  <si>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</si>
  <si>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</si>
  <si>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</si>
  <si>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</si>
  <si>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</si>
  <si>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</si>
  <si>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</si>
  <si>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</si>
  <si>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</si>
  <si>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</si>
  <si>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</si>
  <si>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</si>
  <si>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</si>
  <si>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</si>
  <si>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</si>
  <si>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</si>
  <si>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</si>
  <si>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</si>
  <si>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</si>
  <si>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</si>
  <si>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</si>
  <si>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</si>
  <si>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</si>
  <si>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</si>
  <si>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</si>
  <si>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</si>
  <si>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</si>
  <si>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</si>
  <si>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</si>
  <si>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</si>
  <si>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</si>
  <si>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</si>
  <si>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</si>
  <si>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</si>
  <si>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</si>
  <si>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</si>
  <si>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</si>
  <si>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</si>
  <si>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</si>
  <si>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</si>
  <si>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</si>
  <si>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</si>
  <si>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</si>
  <si>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</si>
  <si>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</si>
  <si>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</si>
  <si>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</si>
  <si>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</si>
  <si>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</si>
  <si>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</si>
  <si>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</si>
  <si>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</si>
  <si>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</si>
  <si>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</si>
  <si>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</si>
  <si>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</si>
  <si>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</si>
  <si>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</si>
  <si>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</si>
  <si>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</si>
  <si>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</si>
  <si>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</si>
  <si>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</si>
  <si>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</si>
  <si>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</si>
  <si>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</si>
  <si>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</si>
  <si>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</si>
  <si>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</si>
  <si>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</si>
  <si>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</si>
  <si>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</si>
  <si>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</si>
  <si>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</si>
  <si>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</si>
  <si>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</si>
  <si>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</si>
  <si>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</si>
  <si>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</si>
  <si>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</si>
  <si>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</si>
  <si>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</si>
  <si>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</si>
  <si>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</si>
  <si>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</si>
  <si>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</si>
  <si>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</si>
  <si>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</si>
  <si>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</si>
  <si>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</si>
  <si>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</si>
  <si>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</si>
  <si>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</si>
  <si>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</si>
  <si>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</si>
  <si>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</si>
  <si>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</si>
  <si>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</si>
  <si>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</si>
  <si>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</si>
  <si>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</si>
  <si>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</si>
  <si>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</si>
  <si>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</si>
  <si>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</si>
  <si>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</si>
  <si>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</si>
  <si>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</si>
  <si>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</si>
  <si>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</si>
  <si>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</si>
  <si>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</si>
  <si>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</si>
  <si>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</si>
  <si>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</si>
  <si>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</si>
  <si>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</si>
  <si>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</si>
  <si>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</si>
  <si>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</si>
  <si>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</si>
  <si>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</si>
  <si>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</si>
  <si>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</si>
  <si>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</si>
  <si>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</si>
  <si>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</si>
  <si>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</si>
  <si>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</si>
  <si>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</si>
  <si>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</si>
  <si>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</si>
  <si>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</si>
  <si>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</si>
  <si>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</si>
  <si>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</si>
  <si>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</si>
  <si>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</si>
  <si>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</si>
  <si>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</si>
  <si>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</si>
  <si>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</si>
  <si>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</si>
  <si>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</si>
  <si>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</si>
  <si>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</si>
  <si>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</si>
  <si>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</si>
  <si>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</si>
  <si>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</si>
  <si>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</si>
  <si>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</si>
  <si>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</si>
  <si>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</si>
  <si>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</si>
  <si>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</si>
  <si>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</si>
  <si>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</si>
  <si>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</si>
  <si>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</si>
  <si>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</si>
  <si>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</si>
  <si>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</si>
  <si>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</si>
  <si>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</si>
  <si>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</si>
  <si>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</si>
  <si>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</si>
  <si>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</si>
  <si>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</si>
  <si>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</si>
  <si>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</si>
  <si>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</si>
  <si>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</si>
  <si>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</si>
  <si>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</si>
  <si>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</si>
  <si>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</si>
  <si>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</si>
  <si>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</si>
  <si>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</si>
  <si>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</si>
  <si>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</si>
  <si>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</si>
  <si>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</si>
  <si>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</si>
  <si>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</si>
  <si>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</si>
  <si>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</si>
  <si>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</si>
  <si>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</si>
  <si>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</si>
  <si>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</si>
  <si>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</si>
  <si>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</si>
  <si>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</si>
  <si>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</si>
  <si>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</si>
  <si>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</si>
  <si>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</si>
  <si>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</si>
  <si>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</si>
  <si>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</si>
  <si>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</si>
  <si>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</si>
  <si>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</si>
  <si>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</si>
  <si>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</si>
  <si>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</si>
  <si>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</si>
  <si>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</si>
  <si>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</si>
  <si>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</si>
  <si>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</si>
  <si>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</si>
  <si>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</si>
  <si>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</si>
  <si>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</si>
  <si>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</si>
  <si>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</si>
  <si>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</si>
  <si>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</si>
  <si>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</si>
  <si>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</si>
  <si>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</si>
  <si>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</si>
  <si>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</si>
  <si>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</si>
  <si>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</si>
  <si>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</si>
  <si>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</si>
  <si>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</si>
  <si>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</si>
  <si>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</si>
  <si>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</si>
  <si>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</si>
  <si>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</si>
  <si>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</si>
  <si>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</si>
  <si>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</si>
  <si>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</si>
  <si>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</si>
  <si>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</si>
  <si>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</si>
  <si>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</si>
  <si>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</si>
  <si>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</si>
  <si>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</si>
  <si>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</si>
  <si>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</si>
  <si>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</si>
  <si>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</si>
  <si>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</si>
  <si>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</si>
  <si>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</si>
  <si>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</si>
  <si>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</si>
  <si>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</si>
  <si>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</si>
  <si>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</si>
  <si>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</si>
  <si>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</si>
  <si>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</si>
  <si>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</si>
  <si>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</si>
  <si>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</si>
  <si>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</si>
  <si>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</si>
  <si>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</si>
  <si>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</si>
  <si>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</si>
  <si>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</si>
  <si>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</si>
  <si>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</si>
  <si>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</si>
  <si>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</si>
  <si>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</si>
  <si>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</si>
  <si>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</si>
  <si>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</si>
  <si>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</si>
  <si>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</si>
  <si>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</si>
  <si>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</si>
  <si>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</si>
  <si>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</si>
  <si>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</si>
  <si>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</si>
  <si>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</si>
  <si>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</si>
  <si>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</si>
  <si>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</si>
  <si>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</si>
  <si>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</si>
  <si>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</si>
  <si>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</si>
  <si>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</si>
  <si>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</si>
  <si>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</si>
  <si>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</si>
  <si>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</si>
  <si>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</si>
  <si>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</si>
  <si>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</si>
  <si>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</si>
  <si>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</si>
  <si>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</si>
  <si>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</si>
  <si>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</si>
  <si>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</si>
  <si>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</si>
  <si>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</si>
  <si>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</si>
  <si>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</si>
  <si>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</si>
  <si>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</si>
  <si>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</si>
  <si>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</si>
  <si>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</si>
  <si>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</si>
  <si>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</si>
  <si>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</si>
  <si>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</si>
  <si>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</si>
  <si>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</si>
  <si>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</si>
  <si>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</si>
  <si>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</si>
  <si>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</si>
  <si>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</si>
  <si>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</si>
  <si>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</si>
  <si>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</si>
  <si>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</si>
  <si>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</si>
  <si>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</si>
  <si>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</si>
  <si>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</si>
  <si>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</si>
  <si>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</si>
  <si>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</si>
  <si>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</si>
  <si>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</si>
  <si>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</si>
  <si>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</si>
  <si>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</si>
  <si>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</si>
  <si>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</si>
  <si>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</si>
  <si>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</si>
  <si>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</si>
  <si>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</si>
  <si>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</si>
  <si>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</si>
  <si>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</si>
  <si>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</si>
  <si>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</si>
  <si>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</si>
  <si>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</si>
  <si>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</si>
  <si>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</si>
  <si>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</si>
  <si>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</si>
  <si>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</si>
  <si>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</si>
  <si>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</si>
  <si>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</si>
  <si>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</si>
  <si>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</si>
  <si>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</si>
  <si>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</si>
  <si>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</si>
  <si>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</si>
  <si>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</si>
  <si>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</si>
  <si>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</si>
  <si>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</si>
  <si>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</si>
  <si>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</si>
  <si>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</si>
  <si>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</si>
  <si>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</si>
  <si>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</si>
  <si>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</si>
  <si>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</si>
  <si>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</si>
  <si>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</si>
  <si>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</si>
  <si>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</si>
  <si>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</si>
  <si>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</si>
  <si>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</si>
  <si>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</si>
  <si>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</si>
  <si>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</si>
  <si>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</si>
  <si>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</si>
  <si>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</si>
  <si>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</si>
  <si>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</si>
  <si>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</si>
  <si>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</si>
  <si>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</si>
  <si>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</si>
  <si>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</si>
  <si>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</si>
  <si>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</si>
  <si>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</si>
  <si>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</si>
  <si>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</si>
  <si>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</si>
  <si>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</si>
  <si>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</si>
  <si>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</si>
  <si>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</si>
  <si>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</si>
  <si>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</si>
  <si>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</si>
  <si>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</si>
  <si>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</si>
  <si>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</si>
  <si>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</si>
  <si>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</si>
  <si>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</si>
  <si>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</si>
  <si>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</si>
  <si>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</si>
  <si>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</si>
  <si>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</si>
  <si>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</si>
  <si>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</si>
  <si>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</si>
  <si>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</si>
  <si>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</si>
  <si>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</si>
  <si>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</si>
  <si>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</si>
  <si>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</si>
  <si>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</si>
  <si>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</si>
  <si>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</si>
  <si>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</si>
  <si>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</si>
  <si>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</si>
  <si>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</si>
  <si>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</si>
  <si>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</si>
  <si>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</si>
  <si>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</si>
  <si>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</si>
  <si>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</si>
  <si>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</si>
  <si>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</si>
  <si>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</si>
  <si>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</si>
  <si>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</si>
  <si>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</si>
  <si>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</si>
  <si>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</si>
  <si>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</si>
  <si>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</si>
  <si>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</si>
  <si>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</si>
  <si>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</si>
  <si>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</si>
  <si>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</si>
  <si>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</si>
  <si>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</si>
  <si>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</si>
  <si>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</si>
  <si>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</si>
  <si>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</si>
  <si>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</si>
  <si>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</si>
  <si>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</si>
  <si>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</si>
  <si>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</si>
  <si>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</si>
  <si>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</si>
  <si>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</si>
  <si>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</si>
  <si>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</si>
  <si>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</si>
  <si>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</si>
  <si>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</si>
  <si>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</si>
  <si>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</si>
  <si>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</si>
  <si>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</si>
  <si>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</si>
  <si>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</si>
  <si>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</si>
  <si>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</si>
  <si>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</si>
  <si>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</si>
  <si>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</si>
  <si>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</si>
  <si>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</si>
  <si>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</si>
  <si>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</si>
  <si>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</si>
  <si>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</si>
  <si>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</si>
  <si>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</si>
  <si>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</si>
  <si>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</si>
  <si>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</si>
  <si>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</si>
  <si>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</si>
  <si>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</si>
  <si>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</si>
  <si>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</si>
  <si>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</si>
  <si>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</si>
  <si>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</si>
  <si>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</si>
  <si>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</si>
  <si>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</si>
  <si>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</si>
  <si>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</si>
  <si>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</si>
  <si>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</si>
  <si>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</si>
  <si>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</si>
  <si>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</si>
  <si>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</si>
  <si>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</si>
  <si>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</si>
  <si>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</si>
  <si>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</si>
  <si>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</si>
  <si>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</si>
  <si>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</si>
  <si>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</si>
  <si>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</si>
  <si>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</si>
  <si>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</si>
  <si>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</si>
  <si>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</si>
  <si>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</si>
  <si>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</si>
  <si>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</si>
  <si>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</si>
  <si>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</si>
  <si>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</si>
  <si>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</si>
  <si>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</si>
  <si>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</si>
  <si>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</si>
  <si>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</si>
  <si>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</si>
  <si>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</si>
  <si>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</si>
  <si>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</si>
  <si>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</si>
  <si>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</si>
  <si>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</si>
  <si>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</si>
  <si>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</si>
  <si>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</si>
  <si>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</si>
  <si>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</si>
  <si>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</si>
  <si>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</si>
  <si>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</si>
  <si>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</si>
  <si>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</si>
  <si>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</si>
  <si>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</si>
  <si>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</si>
  <si>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</si>
  <si>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</si>
  <si>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</si>
  <si>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</si>
  <si>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</si>
  <si>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</si>
  <si>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</si>
  <si>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</si>
  <si>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</si>
  <si>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</si>
  <si>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</si>
  <si>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</si>
  <si>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</si>
  <si>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</si>
  <si>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</si>
  <si>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</si>
  <si>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</si>
  <si>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</si>
  <si>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</si>
  <si>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</si>
  <si>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</si>
  <si>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</si>
  <si>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</si>
  <si>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</si>
  <si>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</si>
  <si>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</si>
  <si>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</si>
  <si>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</si>
  <si>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</si>
  <si>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</si>
  <si>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</si>
  <si>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</si>
  <si>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</si>
  <si>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</si>
  <si>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</si>
  <si>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</si>
  <si>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</si>
  <si>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</si>
  <si>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</si>
  <si>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</si>
  <si>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</si>
  <si>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</si>
  <si>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</si>
  <si>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</si>
  <si>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</si>
  <si>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</si>
  <si>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</si>
  <si>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</si>
  <si>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</si>
  <si>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</si>
  <si>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</si>
  <si>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</si>
  <si>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</si>
  <si>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</si>
  <si>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</si>
  <si>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</si>
  <si>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</si>
  <si>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</si>
  <si>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</si>
  <si>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</si>
  <si>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</si>
  <si>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</si>
  <si>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</si>
  <si>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</si>
  <si>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</si>
  <si>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</si>
  <si>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</si>
  <si>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</si>
  <si>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</si>
  <si>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</si>
  <si>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</si>
  <si>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</si>
  <si>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</si>
  <si>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</si>
  <si>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</si>
  <si>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</si>
  <si>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</si>
  <si>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</si>
  <si>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</si>
  <si>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</si>
  <si>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</si>
  <si>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</si>
  <si>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</si>
  <si>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</si>
  <si>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</si>
  <si>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</si>
  <si>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</si>
  <si>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</si>
  <si>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</si>
  <si>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</si>
  <si>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</si>
  <si>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</si>
  <si>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</si>
  <si>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</si>
  <si>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</si>
  <si>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</si>
  <si>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</si>
  <si>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</si>
  <si>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</si>
  <si>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</si>
  <si>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</si>
  <si>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</si>
  <si>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</si>
  <si>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</si>
  <si>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</si>
  <si>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</si>
  <si>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</si>
  <si>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</si>
  <si>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</si>
  <si>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</si>
  <si>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</si>
  <si>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</si>
  <si>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</si>
  <si>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</si>
  <si>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</si>
  <si>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</si>
  <si>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</si>
  <si>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</si>
  <si>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</si>
  <si>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</si>
  <si>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</si>
  <si>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</si>
  <si>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</si>
  <si>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</si>
  <si>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</si>
  <si>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</si>
  <si>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</si>
  <si>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</si>
  <si>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</si>
  <si>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</si>
  <si>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</si>
  <si>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</si>
  <si>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</si>
  <si>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</si>
  <si>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</si>
  <si>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</si>
  <si>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</si>
  <si>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</si>
  <si>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</si>
  <si>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</si>
  <si>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</si>
  <si>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</si>
  <si>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</si>
  <si>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</si>
  <si>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</si>
  <si>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</si>
  <si>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</si>
  <si>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</si>
  <si>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</si>
  <si>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</si>
  <si>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</si>
  <si>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</si>
  <si>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</si>
  <si>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</si>
  <si>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</si>
  <si>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</si>
  <si>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</si>
  <si>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</si>
  <si>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</si>
  <si>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</si>
  <si>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</si>
  <si>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</si>
  <si>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</si>
  <si>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</si>
  <si>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</si>
  <si>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</si>
  <si>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</si>
  <si>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</si>
  <si>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</si>
  <si>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</si>
  <si>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</si>
  <si>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</si>
  <si>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</si>
  <si>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</si>
  <si>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</si>
  <si>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</si>
  <si>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</si>
  <si>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</si>
  <si>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</si>
  <si>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</si>
  <si>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</si>
  <si>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</si>
  <si>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</si>
  <si>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</si>
  <si>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</si>
  <si>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</si>
  <si>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</si>
  <si>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</si>
  <si>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</si>
  <si>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</si>
  <si>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</si>
  <si>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</si>
  <si>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</si>
  <si>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</si>
  <si>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</si>
  <si>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</si>
  <si>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</si>
  <si>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</si>
  <si>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</si>
  <si>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</si>
  <si>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</si>
  <si>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</si>
  <si>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</si>
  <si>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</si>
  <si>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</si>
  <si>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</si>
  <si>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</si>
  <si>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</si>
  <si>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</si>
  <si>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</si>
  <si>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</si>
  <si>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</si>
  <si>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</si>
  <si>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</si>
  <si>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</si>
  <si>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</si>
  <si>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</si>
  <si>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</si>
  <si>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</si>
  <si>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</si>
  <si>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</si>
  <si>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</si>
  <si>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</si>
  <si>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</si>
  <si>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</si>
  <si>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</si>
  <si>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</si>
  <si>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</si>
  <si>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</si>
  <si>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</si>
  <si>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</si>
  <si>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</si>
  <si>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</si>
  <si>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</si>
  <si>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</si>
  <si>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</si>
  <si>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</si>
  <si>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</si>
  <si>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</si>
  <si>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</si>
  <si>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</si>
  <si>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</si>
  <si>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</si>
  <si>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</si>
  <si>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</si>
  <si>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</si>
  <si>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</si>
  <si>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</si>
  <si>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</si>
  <si>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</si>
  <si>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</si>
  <si>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</si>
  <si>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</si>
  <si>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</si>
  <si>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</si>
  <si>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</si>
  <si>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</si>
  <si>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</si>
  <si>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</si>
  <si>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</si>
  <si>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</si>
  <si>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</si>
  <si>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</si>
  <si>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</si>
  <si>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</si>
  <si>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</si>
  <si>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</si>
  <si>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</si>
  <si>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</si>
  <si>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</si>
  <si>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</si>
  <si>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</si>
  <si>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</si>
  <si>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</si>
  <si>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</si>
  <si>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</si>
  <si>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</si>
  <si>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</si>
  <si>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</si>
  <si>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</si>
  <si>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</si>
  <si>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</si>
  <si>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</si>
  <si>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</si>
  <si>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</si>
  <si>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</si>
  <si>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</si>
  <si>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</si>
  <si>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</si>
  <si>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</si>
  <si>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</si>
  <si>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</si>
  <si>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</si>
  <si>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</si>
  <si>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</si>
  <si>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</si>
  <si>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</si>
  <si>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</si>
  <si>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</si>
  <si>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</si>
  <si>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</si>
  <si>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</si>
  <si>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</si>
  <si>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</si>
  <si>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</si>
  <si>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</si>
  <si>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</si>
  <si>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</si>
  <si>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</si>
  <si>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</si>
  <si>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</si>
  <si>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</si>
  <si>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</si>
  <si>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</si>
  <si>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</si>
  <si>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</si>
  <si>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</si>
  <si>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</si>
  <si>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</si>
  <si>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</si>
  <si>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</si>
  <si>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</si>
  <si>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</si>
  <si>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</si>
  <si>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</si>
  <si>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</si>
  <si>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</si>
  <si>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</si>
  <si>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</si>
  <si>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</si>
  <si>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</si>
  <si>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</si>
  <si>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</si>
  <si>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</si>
  <si>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</si>
  <si>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</si>
  <si>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</si>
  <si>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</si>
  <si>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</si>
  <si>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</si>
  <si>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</si>
  <si>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</si>
  <si>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</si>
  <si>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</si>
  <si>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</si>
  <si>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</si>
  <si>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</si>
  <si>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</si>
  <si>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</si>
  <si>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</si>
  <si>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</si>
  <si>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</si>
  <si>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</si>
  <si>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</si>
  <si>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</si>
  <si>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</si>
  <si>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</si>
  <si>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</si>
  <si>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</si>
  <si>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</si>
  <si>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</si>
  <si>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</si>
  <si>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</si>
  <si>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</si>
  <si>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</si>
  <si>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</si>
  <si>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</si>
  <si>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</si>
  <si>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</si>
  <si>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</si>
  <si>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</si>
  <si>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</si>
  <si>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</si>
  <si>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</si>
  <si>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</si>
  <si>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</si>
  <si>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</si>
  <si>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</si>
  <si>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</si>
  <si>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</si>
  <si>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</si>
  <si>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</si>
  <si>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</si>
  <si>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</si>
  <si>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</si>
  <si>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</si>
  <si>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</si>
  <si>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</si>
  <si>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</si>
  <si>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</si>
  <si>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</si>
  <si>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</si>
  <si>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</si>
  <si>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</si>
  <si>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</si>
  <si>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</si>
  <si>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</si>
  <si>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</si>
  <si>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</si>
  <si>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</si>
  <si>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</si>
  <si>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</si>
  <si>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</si>
  <si>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</si>
  <si>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</si>
  <si>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</si>
  <si>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</si>
  <si>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</si>
  <si>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</si>
  <si>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</si>
  <si>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</si>
  <si>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</si>
  <si>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</si>
  <si>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</si>
  <si>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</si>
  <si>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</si>
  <si>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</si>
  <si>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</si>
  <si>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</si>
  <si>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</si>
  <si>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</si>
  <si>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</si>
  <si>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</si>
  <si>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</si>
  <si>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</si>
  <si>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</si>
  <si>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</si>
  <si>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</si>
  <si>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</si>
  <si>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</si>
  <si>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</si>
  <si>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</si>
  <si>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</si>
  <si>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</si>
  <si>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</si>
  <si>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</si>
  <si>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</si>
  <si>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</si>
  <si>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</si>
  <si>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</si>
  <si>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</si>
  <si>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</si>
  <si>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</si>
  <si>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</si>
  <si>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</si>
  <si>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</si>
  <si>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</si>
  <si>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</si>
  <si>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</si>
  <si>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</si>
  <si>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</si>
  <si>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</si>
  <si>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</si>
  <si>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</si>
  <si>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</si>
  <si>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</si>
  <si>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</si>
  <si>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</si>
  <si>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</si>
  <si>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</si>
  <si>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</si>
  <si>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</si>
  <si>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</si>
  <si>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</si>
  <si>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</si>
  <si>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</si>
  <si>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</si>
  <si>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</si>
  <si>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</si>
  <si>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</si>
  <si>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</si>
  <si>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</si>
  <si>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</si>
  <si>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</si>
  <si>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</si>
  <si>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</si>
  <si>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</si>
  <si>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</si>
  <si>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</si>
  <si>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</si>
  <si>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</si>
  <si>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</si>
  <si>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</si>
  <si>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</si>
  <si>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</si>
  <si>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</si>
  <si>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</si>
  <si>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</si>
  <si>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</si>
  <si>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</si>
  <si>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</si>
  <si>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</si>
  <si>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</si>
  <si>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</si>
  <si>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</si>
  <si>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</si>
  <si>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</si>
  <si>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</si>
  <si>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</si>
  <si>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</si>
  <si>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</si>
  <si>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</si>
  <si>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</si>
  <si>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</si>
  <si>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</si>
  <si>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</si>
  <si>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</si>
  <si>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</si>
  <si>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</si>
  <si>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</si>
  <si>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</si>
  <si>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</si>
  <si>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</si>
  <si>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</si>
  <si>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</si>
  <si>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</si>
  <si>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</si>
  <si>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</si>
  <si>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</si>
  <si>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</si>
  <si>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</si>
  <si>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</si>
  <si>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</si>
  <si>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</si>
  <si>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</si>
  <si>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</si>
  <si>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</si>
  <si>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</si>
  <si>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</si>
  <si>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</si>
  <si>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</si>
  <si>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</si>
  <si>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</si>
  <si>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</si>
  <si>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</si>
  <si>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</si>
  <si>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</si>
  <si>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</si>
  <si>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</si>
  <si>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</si>
  <si>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</si>
  <si>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</si>
  <si>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</si>
  <si>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</si>
  <si>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</si>
  <si>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</si>
  <si>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</si>
  <si>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</si>
  <si>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</si>
  <si>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</si>
  <si>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</si>
  <si>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</si>
  <si>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</si>
  <si>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</si>
  <si>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</si>
  <si>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</si>
  <si>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</si>
  <si>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</si>
  <si>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</si>
  <si>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</si>
  <si>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</si>
  <si>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</si>
  <si>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</si>
  <si>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</si>
  <si>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</si>
  <si>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</si>
  <si>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</si>
  <si>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</si>
  <si>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</si>
  <si>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</si>
  <si>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</si>
  <si>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</si>
  <si>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</si>
  <si>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</si>
  <si>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</si>
  <si>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</si>
  <si>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</si>
  <si>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</si>
  <si>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</si>
  <si>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</si>
  <si>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</si>
  <si>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</si>
  <si>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</si>
  <si>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</si>
  <si>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</si>
  <si>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</si>
  <si>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</si>
  <si>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</si>
  <si>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</si>
  <si>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</si>
  <si>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</si>
  <si>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</si>
  <si>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</si>
  <si>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</si>
  <si>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</si>
  <si>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</si>
  <si>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</si>
  <si>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</si>
  <si>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</si>
  <si>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</si>
  <si>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</si>
  <si>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</si>
  <si>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</si>
  <si>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</si>
  <si>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</si>
  <si>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</si>
  <si>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</si>
  <si>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</si>
  <si>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</si>
  <si>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</si>
  <si>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</si>
  <si>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</si>
  <si>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</si>
  <si>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</si>
  <si>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</si>
  <si>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</si>
  <si>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</si>
  <si>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</si>
  <si>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</si>
  <si>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</si>
  <si>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</si>
  <si>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</si>
  <si>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</si>
  <si>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</si>
  <si>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</si>
  <si>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</si>
  <si>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</si>
  <si>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</si>
  <si>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</si>
  <si>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</si>
  <si>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</si>
  <si>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</si>
  <si>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</si>
  <si>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</si>
  <si>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</si>
  <si>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</si>
  <si>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</si>
  <si>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</si>
  <si>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</si>
  <si>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</si>
  <si>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</si>
  <si>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</si>
  <si>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</si>
  <si>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</si>
  <si>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</si>
  <si>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</si>
  <si>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</si>
  <si>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</si>
  <si>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</si>
  <si>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</si>
  <si>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</si>
  <si>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</si>
  <si>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</si>
  <si>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</si>
  <si>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</si>
  <si>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</si>
  <si>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</si>
  <si>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</si>
  <si>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</si>
  <si>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</si>
  <si>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</si>
  <si>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</si>
  <si>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</si>
  <si>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</si>
  <si>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</si>
  <si>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</si>
  <si>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</si>
  <si>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</si>
  <si>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</si>
  <si>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</si>
  <si>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</si>
  <si>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</si>
  <si>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</si>
  <si>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</si>
  <si>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</si>
  <si>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</si>
  <si>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</si>
  <si>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</si>
  <si>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</si>
  <si>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</si>
  <si>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</si>
  <si>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</si>
  <si>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</si>
  <si>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</si>
  <si>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</si>
  <si>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</si>
  <si>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</si>
  <si>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</si>
  <si>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</si>
  <si>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</si>
  <si>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</si>
  <si>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</si>
  <si>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</si>
  <si>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</si>
  <si>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</si>
  <si>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</si>
  <si>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</si>
  <si>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</si>
  <si>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</si>
  <si>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</si>
  <si>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</si>
  <si>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</si>
  <si>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</si>
  <si>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</si>
  <si>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</si>
  <si>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</si>
  <si>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</si>
  <si>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</si>
  <si>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</si>
  <si>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</si>
  <si>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</si>
  <si>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</si>
  <si>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</si>
  <si>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</si>
  <si>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</si>
  <si>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</si>
  <si>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</si>
  <si>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</si>
  <si>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</si>
  <si>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</si>
  <si>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</si>
  <si>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</si>
  <si>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</si>
  <si>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</si>
  <si>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</si>
  <si>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</si>
  <si>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</si>
  <si>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</si>
  <si>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</si>
  <si>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</si>
  <si>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</si>
  <si>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</si>
  <si>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</si>
  <si>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</si>
  <si>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</si>
  <si>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</si>
  <si>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</si>
  <si>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</si>
  <si>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</si>
  <si>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</si>
  <si>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</si>
  <si>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</si>
  <si>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</si>
  <si>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</si>
  <si>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</si>
  <si>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</si>
  <si>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</si>
  <si>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</si>
  <si>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</si>
  <si>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</si>
  <si>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</si>
  <si>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</si>
  <si>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</si>
  <si>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</si>
  <si>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</si>
  <si>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</si>
  <si>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</si>
  <si>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</si>
  <si>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</si>
  <si>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</si>
  <si>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</si>
  <si>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</si>
  <si>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</si>
  <si>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</si>
  <si>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</si>
  <si>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</si>
  <si>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</si>
  <si>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</si>
  <si>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</si>
  <si>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</si>
  <si>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</si>
  <si>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</si>
  <si>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</si>
  <si>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</si>
  <si>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</si>
  <si>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</si>
  <si>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</si>
  <si>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</si>
  <si>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</si>
  <si>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</si>
  <si>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</si>
  <si>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</si>
  <si>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</si>
  <si>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</si>
  <si>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</si>
  <si>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</si>
  <si>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</si>
  <si>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</si>
  <si>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</si>
  <si>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</si>
  <si>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</si>
  <si>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</si>
  <si>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</si>
  <si>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</si>
  <si>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</si>
  <si>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</si>
  <si>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</si>
  <si>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</si>
  <si>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</si>
  <si>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</si>
  <si>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</si>
  <si>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</si>
  <si>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</si>
  <si>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</si>
  <si>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</si>
  <si>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</si>
  <si>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</si>
  <si>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</si>
  <si>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</si>
  <si>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</si>
  <si>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</si>
  <si>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</si>
  <si>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</si>
  <si>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</si>
  <si>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</si>
  <si>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</si>
  <si>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</si>
  <si>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</si>
  <si>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</si>
  <si>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</si>
  <si>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</si>
  <si>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</si>
  <si>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</si>
  <si>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</si>
  <si>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</si>
  <si>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</si>
  <si>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</si>
  <si>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</si>
  <si>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</si>
  <si>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</si>
  <si>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</si>
  <si>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</si>
  <si>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</si>
  <si>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</si>
  <si>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</si>
  <si>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</si>
  <si>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</si>
  <si>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</si>
  <si>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</si>
  <si>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</si>
  <si>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</si>
  <si>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</si>
  <si>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</si>
  <si>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</si>
  <si>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</si>
  <si>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</si>
  <si>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</si>
  <si>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</si>
  <si>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</si>
  <si>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</si>
  <si>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</si>
  <si>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</si>
  <si>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</si>
  <si>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</si>
  <si>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</si>
  <si>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</si>
  <si>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</si>
  <si>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</si>
  <si>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</si>
  <si>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</si>
  <si>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</si>
  <si>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</si>
  <si>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</si>
  <si>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</si>
  <si>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</si>
  <si>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</si>
  <si>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</si>
  <si>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</si>
  <si>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</si>
  <si>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</si>
  <si>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</si>
  <si>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</si>
  <si>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</si>
  <si>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</si>
  <si>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</si>
  <si>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</si>
  <si>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</si>
  <si>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</si>
  <si>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</si>
  <si>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</si>
  <si>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</si>
  <si>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</si>
  <si>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</si>
  <si>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</si>
  <si>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</si>
  <si>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</si>
  <si>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</si>
  <si>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</si>
  <si>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</si>
  <si>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</si>
  <si>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</si>
  <si>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</si>
  <si>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</si>
  <si>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</si>
  <si>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</si>
  <si>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</si>
  <si>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</si>
  <si>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</si>
  <si>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</si>
  <si>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</si>
  <si>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</si>
  <si>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</si>
  <si>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</si>
  <si>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</si>
  <si>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</si>
  <si>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</si>
  <si>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</si>
  <si>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</si>
  <si>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</si>
  <si>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</si>
  <si>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</si>
  <si>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</si>
  <si>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</si>
  <si>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</si>
  <si>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</si>
  <si>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</si>
  <si>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</si>
  <si>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</si>
  <si>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</si>
  <si>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</si>
  <si>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</si>
  <si>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</si>
  <si>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</si>
  <si>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</si>
  <si>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</si>
  <si>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</si>
  <si>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</si>
  <si>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</si>
  <si>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</si>
  <si>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</si>
  <si>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</si>
  <si>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</si>
  <si>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</si>
  <si>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</si>
  <si>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</si>
  <si>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</si>
  <si>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</si>
  <si>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</si>
  <si>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</si>
  <si>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</si>
  <si>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</si>
  <si>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</si>
  <si>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</si>
  <si>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</si>
  <si>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</si>
  <si>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</si>
  <si>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</si>
  <si>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</si>
  <si>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</si>
  <si>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</si>
  <si>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</si>
  <si>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</si>
  <si>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</si>
  <si>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</si>
  <si>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</si>
  <si>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</si>
  <si>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</si>
  <si>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</si>
  <si>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</si>
  <si>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</si>
  <si>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</si>
  <si>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</si>
  <si>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</si>
  <si>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</si>
  <si>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</si>
  <si>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</si>
  <si>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</si>
  <si>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</si>
  <si>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</si>
  <si>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</si>
  <si>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</si>
  <si>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</si>
  <si>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</si>
  <si>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</si>
  <si>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</si>
  <si>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</si>
  <si>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</si>
  <si>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</si>
  <si>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</si>
  <si>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</si>
  <si>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</si>
  <si>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</si>
  <si>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</si>
  <si>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</si>
  <si>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</si>
  <si>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</si>
  <si>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</si>
  <si>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</si>
  <si>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</si>
  <si>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</si>
  <si>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</si>
  <si>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</si>
  <si>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</si>
  <si>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</si>
  <si>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</si>
  <si>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</si>
  <si>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</si>
  <si>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</si>
  <si>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</si>
  <si>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</si>
  <si>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</si>
  <si>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</si>
  <si>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</si>
  <si>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</si>
  <si>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</si>
  <si>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</si>
  <si>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</si>
  <si>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</si>
  <si>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</si>
  <si>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</si>
  <si>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</si>
  <si>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</si>
  <si>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</si>
  <si>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</si>
  <si>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</si>
  <si>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</si>
  <si>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</si>
  <si>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</si>
  <si>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</si>
  <si>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</si>
  <si>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</si>
  <si>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</si>
  <si>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</si>
  <si>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</si>
  <si>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</si>
  <si>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</si>
  <si>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</si>
  <si>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</si>
  <si>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</si>
  <si>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</si>
  <si>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</si>
  <si>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</si>
  <si>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</si>
  <si>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</si>
  <si>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</si>
  <si>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</si>
  <si>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</si>
  <si>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</si>
  <si>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</si>
  <si>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</si>
  <si>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</si>
  <si>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</si>
  <si>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</si>
  <si>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</si>
  <si>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</si>
  <si>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</si>
  <si>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</si>
  <si>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</si>
  <si>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</si>
  <si>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</si>
  <si>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</si>
  <si>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</si>
  <si>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</si>
  <si>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</si>
  <si>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</si>
  <si>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</si>
  <si>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</si>
  <si>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</si>
  <si>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</si>
  <si>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</si>
  <si>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</si>
  <si>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</si>
  <si>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</si>
  <si>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</si>
  <si>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</si>
  <si>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</si>
  <si>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</si>
  <si>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</si>
  <si>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</si>
  <si>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</si>
  <si>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</si>
  <si>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</si>
  <si>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</si>
  <si>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</si>
  <si>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</si>
  <si>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</si>
  <si>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</si>
  <si>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</si>
  <si>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</si>
  <si>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</si>
  <si>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</si>
  <si>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</si>
  <si>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</si>
  <si>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</si>
  <si>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</si>
  <si>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</si>
  <si>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</si>
  <si>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</si>
  <si>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</si>
  <si>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</si>
  <si>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</si>
  <si>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</si>
  <si>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</si>
  <si>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</si>
  <si>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</si>
  <si>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</si>
  <si>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</si>
  <si>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</si>
  <si>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</si>
  <si>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</si>
  <si>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</si>
  <si>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</si>
  <si>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</si>
  <si>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</si>
  <si>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</si>
  <si>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</si>
  <si>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</si>
  <si>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</si>
  <si>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</si>
  <si>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</si>
  <si>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</si>
  <si>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</si>
  <si>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</si>
  <si>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</si>
  <si>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</si>
  <si>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</si>
  <si>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</si>
  <si>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</si>
  <si>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</si>
  <si>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</si>
  <si>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</si>
  <si>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</si>
  <si>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</si>
  <si>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</si>
  <si>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</si>
  <si>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</si>
  <si>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</si>
  <si>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</si>
  <si>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</si>
  <si>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</si>
  <si>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</si>
  <si>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</si>
  <si>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</si>
  <si>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</si>
  <si>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</si>
  <si>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</si>
  <si>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</si>
  <si>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</si>
  <si>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</si>
  <si>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</si>
  <si>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</si>
  <si>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</si>
  <si>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</si>
  <si>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</si>
  <si>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</si>
  <si>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</si>
  <si>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</si>
  <si>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</si>
  <si>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</si>
  <si>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</si>
  <si>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</si>
  <si>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</si>
  <si>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</si>
  <si>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</si>
  <si>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</si>
  <si>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</si>
  <si>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</si>
  <si>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</si>
  <si>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</si>
  <si>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</si>
  <si>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</si>
  <si>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</si>
  <si>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</si>
  <si>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</si>
  <si>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</si>
  <si>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</si>
  <si>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</si>
  <si>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</si>
  <si>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</si>
  <si>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</si>
  <si>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</si>
  <si>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</si>
  <si>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</si>
  <si>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</si>
  <si>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</si>
  <si>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</si>
  <si>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</si>
  <si>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</si>
  <si>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</si>
  <si>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</si>
  <si>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</si>
  <si>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</si>
  <si>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</si>
  <si>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</si>
  <si>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</si>
  <si>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</si>
  <si>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</si>
  <si>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</si>
  <si>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</si>
  <si>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</si>
  <si>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</si>
  <si>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</si>
  <si>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</si>
  <si>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</si>
  <si>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</si>
  <si>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</si>
  <si>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</si>
  <si>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</si>
  <si>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</si>
  <si>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</si>
  <si>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</si>
  <si>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</si>
  <si>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</si>
  <si>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</si>
  <si>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</si>
  <si>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</si>
  <si>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</si>
  <si>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</si>
  <si>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</si>
  <si>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</si>
  <si>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</si>
  <si>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</si>
  <si>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</si>
  <si>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</si>
  <si>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</si>
  <si>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</si>
  <si>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</si>
  <si>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</si>
  <si>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</si>
  <si>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</si>
  <si>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</si>
  <si>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</si>
  <si>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</si>
  <si>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</si>
  <si>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</si>
  <si>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</si>
  <si>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</si>
  <si>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</si>
  <si>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</si>
  <si>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</si>
  <si>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</si>
  <si>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</si>
  <si>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</si>
  <si>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</si>
  <si>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</si>
  <si>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</si>
  <si>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</si>
  <si>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</si>
  <si>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</si>
  <si>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</si>
  <si>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</si>
  <si>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</si>
  <si>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</si>
  <si>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</si>
  <si>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</si>
  <si>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</si>
  <si>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</si>
  <si>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</si>
  <si>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</si>
  <si>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</si>
  <si>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</si>
  <si>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</si>
  <si>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</si>
  <si>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</si>
  <si>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</si>
  <si>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</si>
  <si>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</si>
  <si>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</si>
  <si>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</si>
  <si>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</si>
  <si>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</si>
  <si>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</si>
  <si>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</si>
  <si>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</si>
  <si>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</si>
  <si>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</si>
  <si>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</si>
  <si>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</si>
  <si>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</si>
  <si>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</si>
  <si>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</si>
  <si>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</si>
  <si>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</si>
  <si>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</si>
  <si>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</si>
  <si>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</si>
  <si>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</si>
  <si>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</si>
  <si>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</si>
  <si>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</si>
  <si>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</si>
  <si>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</si>
  <si>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</si>
  <si>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</si>
  <si>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</si>
  <si>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</si>
  <si>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</si>
  <si>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</si>
  <si>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</si>
  <si>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</si>
  <si>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</si>
  <si>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</si>
  <si>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</si>
  <si>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</si>
  <si>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</si>
  <si>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</si>
  <si>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</si>
  <si>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</si>
  <si>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</si>
  <si>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</si>
  <si>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</si>
  <si>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</si>
  <si>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</si>
  <si>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</si>
  <si>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</si>
  <si>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</si>
  <si>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</si>
  <si>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</si>
  <si>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</si>
  <si>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</si>
  <si>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</si>
  <si>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</si>
  <si>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</si>
  <si>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</si>
  <si>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</si>
  <si>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</si>
  <si>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</si>
  <si>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</si>
  <si>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</si>
  <si>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</si>
  <si>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</si>
  <si>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</si>
  <si>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</si>
  <si>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</si>
  <si>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</si>
  <si>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</si>
  <si>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</si>
  <si>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</si>
  <si>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</si>
  <si>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</si>
  <si>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</si>
  <si>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</si>
  <si>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</si>
  <si>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</si>
  <si>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</si>
  <si>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</si>
  <si>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</si>
  <si>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</si>
  <si>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</si>
  <si>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</si>
  <si>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</si>
  <si>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</si>
  <si>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</si>
  <si>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</si>
  <si>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</si>
  <si>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</si>
  <si>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</si>
  <si>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</si>
  <si>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</si>
  <si>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</si>
  <si>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</si>
  <si>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</si>
  <si>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</si>
  <si>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</si>
  <si>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</si>
  <si>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</si>
  <si>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</si>
  <si>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</si>
  <si>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</si>
  <si>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</si>
  <si>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</si>
  <si>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</si>
  <si>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</si>
  <si>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</si>
  <si>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</si>
  <si>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</si>
  <si>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</si>
  <si>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</si>
  <si>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</si>
  <si>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</si>
  <si>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</si>
  <si>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</si>
  <si>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</si>
  <si>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</si>
  <si>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</si>
  <si>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</si>
  <si>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</si>
  <si>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</si>
  <si>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</si>
  <si>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</si>
  <si>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</si>
  <si>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</si>
  <si>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</si>
  <si>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</si>
  <si>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</si>
  <si>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</si>
  <si>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</si>
  <si>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</si>
  <si>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</si>
  <si>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</si>
  <si>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</si>
  <si>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</si>
  <si>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</si>
  <si>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</si>
  <si>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</si>
  <si>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</si>
  <si>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</si>
  <si>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</si>
  <si>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</si>
  <si>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</si>
  <si>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</si>
  <si>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</si>
  <si>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</si>
  <si>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</si>
  <si>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</si>
  <si>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</si>
  <si>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</si>
  <si>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</si>
  <si>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</si>
  <si>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</si>
  <si>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</si>
  <si>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</si>
  <si>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</si>
  <si>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</si>
  <si>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</si>
  <si>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</si>
  <si>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</si>
  <si>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</si>
  <si>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</si>
  <si>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</si>
  <si>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</si>
  <si>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</si>
  <si>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</si>
  <si>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</si>
  <si>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</si>
  <si>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</si>
  <si>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</si>
  <si>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</si>
  <si>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</si>
  <si>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</si>
  <si>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</si>
  <si>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</si>
  <si>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</si>
  <si>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</si>
  <si>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</si>
  <si>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</si>
  <si>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</si>
  <si>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</si>
  <si>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</si>
  <si>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</si>
  <si>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</si>
  <si>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</si>
  <si>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</si>
  <si>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</si>
  <si>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</si>
  <si>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</si>
  <si>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</si>
  <si>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</si>
  <si>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</si>
  <si>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</si>
  <si>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</si>
  <si>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</si>
  <si>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</si>
  <si>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</si>
  <si>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</si>
  <si>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</si>
  <si>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</si>
  <si>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</si>
  <si>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</si>
  <si>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</si>
  <si>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</si>
  <si>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</si>
  <si>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</si>
  <si>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</si>
  <si>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</si>
  <si>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</si>
  <si>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</si>
  <si>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</si>
  <si>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</si>
  <si>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</si>
  <si>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</si>
  <si>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</si>
  <si>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</si>
  <si>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</si>
  <si>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</si>
  <si>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</si>
  <si>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</si>
  <si>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</si>
  <si>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</si>
  <si>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</si>
  <si>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</si>
  <si>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</si>
  <si>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</si>
  <si>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</si>
  <si>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</si>
  <si>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</si>
  <si>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</si>
  <si>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</si>
  <si>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</si>
  <si>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</si>
  <si>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</si>
  <si>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</si>
  <si>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</si>
  <si>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</si>
  <si>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</si>
  <si>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</si>
  <si>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</si>
  <si>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</si>
  <si>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</si>
  <si>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</si>
  <si>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</si>
  <si>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</si>
  <si>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</si>
  <si>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</si>
  <si>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</si>
  <si>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</si>
  <si>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</si>
  <si>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</si>
  <si>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</si>
  <si>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</si>
  <si>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</si>
  <si>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</si>
  <si>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</si>
  <si>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</si>
  <si>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</si>
  <si>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</si>
  <si>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</si>
  <si>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</si>
  <si>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</si>
  <si>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</si>
  <si>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</si>
  <si>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</si>
  <si>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</si>
  <si>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</si>
  <si>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</si>
  <si>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</si>
  <si>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</si>
  <si>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</si>
  <si>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</si>
  <si>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</si>
  <si>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</si>
  <si>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</si>
  <si>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</si>
  <si>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</si>
  <si>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</si>
  <si>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</si>
  <si>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</si>
  <si>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</si>
  <si>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</si>
  <si>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</si>
  <si>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</si>
  <si>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</si>
  <si>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</si>
  <si>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</si>
  <si>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</si>
  <si>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</si>
  <si>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</si>
  <si>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</si>
  <si>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</si>
  <si>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</si>
  <si>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</si>
  <si>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</si>
  <si>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</si>
  <si>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</si>
  <si>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</si>
  <si>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</si>
  <si>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</si>
  <si>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</si>
  <si>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</si>
  <si>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</si>
  <si>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</si>
  <si>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</si>
  <si>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</si>
  <si>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</si>
  <si>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</si>
  <si>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</si>
  <si>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</si>
  <si>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</si>
  <si>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</si>
  <si>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</si>
  <si>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</si>
  <si>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</si>
  <si>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</si>
  <si>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</si>
  <si>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</si>
  <si>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</si>
  <si>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</si>
  <si>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</si>
  <si>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</si>
  <si>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</si>
  <si>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</si>
  <si>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</si>
  <si>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</si>
  <si>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</si>
  <si>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</si>
  <si>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</si>
  <si>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</si>
  <si>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</si>
  <si>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</si>
  <si>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</si>
  <si>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</si>
  <si>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</si>
  <si>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</si>
  <si>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</si>
  <si>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</si>
  <si>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</si>
  <si>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</si>
  <si>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</si>
  <si>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</si>
  <si>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</si>
  <si>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</si>
  <si>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</si>
  <si>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</si>
  <si>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</si>
  <si>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</si>
  <si>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</si>
  <si>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</si>
  <si>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</si>
  <si>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</si>
  <si>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</si>
  <si>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</si>
  <si>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</si>
  <si>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</si>
  <si>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</si>
  <si>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</si>
  <si>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</si>
  <si>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</si>
  <si>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</si>
  <si>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</si>
  <si>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</si>
  <si>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</si>
  <si>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</si>
  <si>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</si>
  <si>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</si>
  <si>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</si>
  <si>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</si>
  <si>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</si>
  <si>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</si>
  <si>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</si>
  <si>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</si>
  <si>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</si>
  <si>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</si>
  <si>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</si>
  <si>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</si>
  <si>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</si>
  <si>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</si>
  <si>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</si>
  <si>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</si>
  <si>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</si>
  <si>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</si>
  <si>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</si>
  <si>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</si>
  <si>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</si>
  <si>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</si>
  <si>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</si>
  <si>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</si>
  <si>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</si>
  <si>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</si>
  <si>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</si>
  <si>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</si>
  <si>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</si>
  <si>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</si>
  <si>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</si>
  <si>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</si>
  <si>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</si>
  <si>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</si>
  <si>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</si>
  <si>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</si>
  <si>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</si>
  <si>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</si>
  <si>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</si>
  <si>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</si>
  <si>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</si>
  <si>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</si>
  <si>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</si>
  <si>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</si>
  <si>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</si>
  <si>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</si>
  <si>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</si>
  <si>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</si>
  <si>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</si>
  <si>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</si>
  <si>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</si>
  <si>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</si>
  <si>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</si>
  <si>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</si>
  <si>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</si>
  <si>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</si>
  <si>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</si>
  <si>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</si>
  <si>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</si>
  <si>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</si>
  <si>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</si>
  <si>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</si>
  <si>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</si>
  <si>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</si>
  <si>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</si>
  <si>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</si>
  <si>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</si>
  <si>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</si>
  <si>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</si>
  <si>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</si>
  <si>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</si>
  <si>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</si>
  <si>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</si>
  <si>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</si>
  <si>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</si>
  <si>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</si>
  <si>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</si>
  <si>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</si>
  <si>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</si>
  <si>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</si>
  <si>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</si>
  <si>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</si>
  <si>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</si>
  <si>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</si>
  <si>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</si>
  <si>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</si>
  <si>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</si>
  <si>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</si>
  <si>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</si>
  <si>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</si>
  <si>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</si>
  <si>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</si>
  <si>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</si>
  <si>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</si>
  <si>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</si>
  <si>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</si>
  <si>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</si>
  <si>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</si>
  <si>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</si>
  <si>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</si>
  <si>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</si>
  <si>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</si>
  <si>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</si>
  <si>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</si>
  <si>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</si>
  <si>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</si>
  <si>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</si>
  <si>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</si>
  <si>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</si>
  <si>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</si>
  <si>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</si>
  <si>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</si>
  <si>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</si>
  <si>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</si>
  <si>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</si>
  <si>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</si>
  <si>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</si>
  <si>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</si>
  <si>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</si>
  <si>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</si>
  <si>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</si>
  <si>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</si>
  <si>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</si>
  <si>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</si>
  <si>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</si>
  <si>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</si>
  <si>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</si>
  <si>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</si>
  <si>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</si>
  <si>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</si>
  <si>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</si>
  <si>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</si>
  <si>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</si>
  <si>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</si>
  <si>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</si>
  <si>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</si>
  <si>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</si>
  <si>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</si>
  <si>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</si>
  <si>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</si>
  <si>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</si>
  <si>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</si>
  <si>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</si>
  <si>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</si>
  <si>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</si>
  <si>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</si>
  <si>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</si>
  <si>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</si>
  <si>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</si>
  <si>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</si>
  <si>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</si>
  <si>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</si>
  <si>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</si>
  <si>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</si>
  <si>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</si>
  <si>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</si>
  <si>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</si>
  <si>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</si>
  <si>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</si>
  <si>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</si>
  <si>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</si>
  <si>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</si>
  <si>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</si>
  <si>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</si>
  <si>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</si>
  <si>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</si>
  <si>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</si>
  <si>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</si>
  <si>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</si>
  <si>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</si>
  <si>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</si>
  <si>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</si>
  <si>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</si>
  <si>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</si>
  <si>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</si>
  <si>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</si>
  <si>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</si>
  <si>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</si>
  <si>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</si>
  <si>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</si>
  <si>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</si>
  <si>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</si>
  <si>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</si>
  <si>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</si>
  <si>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</si>
  <si>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</si>
  <si>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</si>
  <si>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</si>
  <si>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</si>
  <si>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</si>
  <si>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</si>
  <si>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</si>
  <si>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</si>
  <si>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</si>
  <si>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</si>
  <si>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</si>
  <si>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</si>
  <si>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</si>
  <si>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</si>
  <si>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</si>
  <si>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</si>
  <si>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</si>
  <si>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</si>
  <si>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</si>
  <si>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</si>
  <si>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</si>
  <si>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</si>
  <si>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</si>
  <si>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</si>
  <si>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</si>
  <si>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</si>
  <si>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</si>
  <si>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</si>
  <si>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</si>
  <si>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</si>
  <si>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</si>
  <si>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</si>
  <si>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</si>
  <si>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</si>
  <si>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</si>
  <si>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</si>
  <si>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</si>
  <si>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</si>
  <si>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</si>
  <si>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</si>
  <si>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</si>
  <si>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</si>
  <si>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</si>
  <si>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</si>
  <si>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</si>
  <si>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</si>
  <si>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</si>
  <si>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</si>
  <si>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</si>
  <si>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</si>
  <si>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</si>
  <si>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</si>
  <si>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</si>
  <si>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</si>
  <si>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</si>
  <si>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</si>
  <si>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</si>
  <si>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</si>
  <si>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</si>
  <si>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</si>
  <si>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</si>
  <si>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</si>
  <si>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</si>
  <si>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</si>
  <si>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</si>
  <si>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</si>
  <si>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</si>
  <si>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</si>
  <si>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</si>
  <si>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</si>
  <si>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</si>
  <si>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</si>
  <si>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</si>
  <si>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</si>
  <si>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</si>
  <si>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</si>
  <si>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</si>
  <si>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</si>
  <si>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</si>
  <si>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</si>
  <si>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</si>
  <si>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</si>
  <si>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</si>
  <si>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</si>
  <si>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</si>
  <si>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</si>
  <si>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</si>
  <si>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</si>
  <si>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</si>
  <si>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</si>
  <si>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</si>
  <si>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</si>
  <si>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</si>
  <si>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</si>
  <si>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</si>
  <si>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</si>
  <si>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</si>
  <si>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</si>
  <si>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</si>
  <si>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</si>
  <si>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</si>
  <si>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</si>
  <si>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</si>
  <si>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</si>
  <si>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</si>
  <si>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</si>
  <si>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</si>
  <si>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</si>
  <si>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</si>
  <si>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</si>
  <si>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</si>
  <si>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</si>
  <si>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</si>
  <si>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</si>
  <si>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</si>
  <si>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</si>
  <si>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</si>
  <si>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</si>
  <si>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</si>
  <si>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</si>
  <si>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</si>
  <si>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</si>
  <si>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</si>
  <si>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</si>
  <si>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</si>
  <si>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</si>
  <si>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</si>
  <si>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</si>
  <si>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</si>
  <si>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</si>
  <si>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</si>
  <si>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</si>
  <si>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</si>
  <si>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</si>
  <si>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</si>
  <si>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</si>
  <si>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</si>
  <si>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</si>
  <si>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</si>
  <si>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</si>
  <si>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</si>
  <si>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</si>
  <si>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</si>
  <si>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</si>
  <si>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</si>
  <si>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</si>
  <si>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</si>
  <si>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</si>
  <si>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</si>
  <si>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</si>
  <si>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</si>
  <si>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</si>
  <si>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</si>
  <si>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</si>
  <si>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</si>
  <si>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</si>
  <si>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</si>
  <si>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</si>
  <si>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</si>
  <si>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</si>
  <si>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</si>
  <si>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</si>
  <si>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</si>
  <si>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</si>
  <si>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</si>
  <si>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</si>
  <si>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</si>
  <si>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</si>
  <si>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</si>
  <si>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</si>
  <si>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</si>
  <si>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</si>
  <si>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</si>
  <si>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</si>
  <si>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</si>
  <si>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</si>
  <si>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</si>
  <si>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</si>
  <si>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</si>
  <si>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</si>
  <si>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</si>
  <si>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</si>
  <si>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</si>
  <si>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</si>
  <si>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</si>
  <si>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</si>
  <si>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</si>
  <si>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</si>
  <si>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</si>
  <si>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</si>
  <si>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</si>
  <si>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</si>
  <si>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</si>
  <si>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</si>
  <si>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</si>
  <si>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</si>
  <si>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</si>
  <si>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</si>
  <si>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</si>
  <si>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</si>
  <si>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</si>
  <si>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</si>
  <si>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</si>
  <si>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</si>
  <si>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</si>
  <si>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</si>
  <si>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</si>
  <si>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</si>
  <si>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</si>
  <si>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</si>
  <si>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</si>
  <si>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</si>
  <si>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</si>
  <si>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</si>
  <si>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</si>
  <si>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</si>
  <si>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</si>
  <si>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</si>
  <si>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</si>
  <si>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</si>
  <si>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</si>
  <si>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</si>
  <si>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</si>
  <si>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</si>
  <si>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</si>
  <si>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</si>
  <si>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</si>
  <si>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</si>
  <si>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</si>
  <si>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</si>
  <si>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</si>
  <si>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</si>
  <si>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</si>
  <si>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</si>
  <si>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</si>
  <si>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</si>
  <si>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</si>
  <si>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</si>
  <si>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</si>
  <si>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</si>
  <si>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</si>
  <si>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</si>
  <si>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</si>
  <si>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</si>
  <si>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</si>
  <si>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</si>
  <si>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</si>
  <si>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</si>
  <si>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</si>
  <si>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</si>
  <si>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</si>
  <si>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</si>
  <si>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</si>
  <si>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</si>
  <si>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</si>
  <si>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</si>
  <si>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</si>
  <si>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</si>
  <si>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</si>
  <si>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</si>
  <si>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</si>
  <si>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</si>
  <si>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</si>
  <si>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</si>
  <si>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</si>
  <si>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</si>
  <si>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</si>
  <si>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</si>
  <si>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</si>
  <si>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</si>
  <si>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</si>
  <si>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</si>
  <si>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</si>
  <si>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</si>
  <si>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</si>
  <si>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</si>
  <si>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</si>
  <si>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</si>
  <si>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</si>
  <si>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</si>
  <si>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</si>
  <si>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</si>
  <si>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</si>
  <si>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</si>
  <si>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</si>
  <si>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</si>
  <si>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</si>
  <si>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</si>
  <si>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</si>
  <si>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</si>
  <si>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</si>
  <si>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</si>
  <si>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</si>
  <si>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</si>
  <si>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</si>
  <si>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</si>
  <si>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</si>
  <si>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</si>
  <si>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</si>
  <si>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</si>
  <si>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</si>
  <si>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</si>
  <si>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</si>
  <si>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</si>
  <si>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</si>
  <si>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</si>
  <si>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</si>
  <si>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</si>
  <si>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</si>
  <si>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</si>
  <si>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</si>
  <si>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</si>
  <si>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</si>
  <si>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</si>
  <si>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</si>
  <si>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</si>
  <si>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</si>
  <si>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</si>
  <si>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</si>
  <si>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</si>
  <si>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</si>
  <si>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</si>
  <si>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</si>
  <si>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</si>
  <si>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</si>
  <si>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</si>
  <si>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</si>
  <si>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</si>
  <si>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</si>
  <si>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</si>
  <si>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</si>
  <si>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</si>
  <si>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</si>
  <si>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</si>
  <si>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</si>
  <si>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</si>
  <si>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</si>
  <si>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</si>
  <si>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</si>
  <si>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</si>
  <si>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</si>
  <si>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</si>
  <si>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</si>
  <si>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</si>
  <si>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</si>
  <si>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</si>
  <si>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</si>
  <si>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</si>
  <si>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</si>
  <si>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</si>
  <si>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</si>
  <si>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</si>
  <si>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</si>
  <si>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</si>
  <si>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</si>
  <si>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</si>
  <si>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</si>
  <si>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</si>
  <si>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</si>
  <si>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</si>
  <si>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</si>
  <si>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</si>
  <si>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</si>
  <si>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</si>
  <si>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</si>
  <si>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</si>
  <si>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</si>
  <si>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</si>
  <si>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</si>
  <si>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</si>
  <si>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</si>
  <si>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</si>
  <si>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</si>
  <si>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</si>
  <si>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</si>
  <si>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</si>
  <si>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</si>
  <si>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</si>
  <si>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</si>
  <si>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</si>
  <si>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</si>
  <si>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</si>
  <si>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</si>
  <si>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</si>
  <si>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</si>
  <si>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</si>
  <si>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</si>
  <si>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</si>
  <si>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</si>
  <si>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</si>
  <si>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</si>
  <si>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</si>
  <si>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</si>
  <si>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</si>
  <si>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</si>
  <si>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</si>
  <si>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</si>
  <si>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</si>
  <si>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</si>
  <si>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</si>
  <si>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</si>
  <si>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</si>
  <si>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</si>
  <si>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</si>
  <si>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</si>
  <si>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</si>
  <si>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</si>
  <si>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</si>
  <si>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</si>
  <si>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</si>
  <si>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</si>
  <si>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</si>
  <si>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</si>
  <si>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</si>
  <si>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</si>
  <si>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</si>
  <si>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</si>
  <si>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</si>
  <si>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</si>
  <si>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</si>
  <si>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</si>
  <si>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</si>
  <si>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</si>
  <si>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</si>
  <si>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</si>
  <si>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</si>
  <si>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</si>
  <si>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</si>
  <si>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</si>
  <si>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</si>
  <si>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</si>
  <si>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</si>
  <si>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</si>
  <si>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</si>
  <si>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</si>
  <si>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</si>
  <si>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</si>
  <si>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</si>
  <si>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</si>
  <si>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</si>
  <si>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</si>
  <si>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</si>
  <si>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</si>
  <si>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</si>
  <si>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</si>
  <si>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</si>
  <si>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</si>
  <si>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</si>
  <si>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</si>
  <si>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</si>
  <si>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</si>
  <si>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</si>
  <si>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</si>
  <si>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</si>
  <si>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</si>
  <si>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</si>
  <si>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</si>
  <si>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</si>
  <si>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</si>
  <si>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</si>
  <si>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</si>
  <si>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</si>
  <si>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</si>
  <si>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</si>
  <si>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</si>
  <si>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</si>
  <si>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</si>
  <si>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</si>
  <si>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</si>
  <si>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</si>
  <si>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</si>
  <si>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</si>
  <si>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</si>
  <si>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</si>
  <si>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</si>
  <si>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</si>
  <si>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</si>
  <si>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</si>
  <si>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</si>
  <si>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</si>
  <si>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</si>
  <si>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</si>
  <si>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</si>
  <si>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</si>
  <si>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</si>
  <si>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</si>
  <si>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</si>
  <si>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</si>
  <si>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</si>
  <si>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</si>
  <si>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</si>
  <si>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</si>
  <si>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</si>
  <si>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</si>
  <si>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</si>
  <si>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</si>
  <si>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</si>
  <si>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</si>
  <si>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</si>
  <si>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</si>
  <si>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</si>
  <si>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</si>
  <si>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</si>
  <si>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</si>
  <si>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</si>
  <si>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</si>
  <si>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</si>
  <si>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</si>
  <si>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</si>
  <si>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</si>
  <si>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</si>
  <si>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</si>
  <si>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</si>
  <si>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</si>
  <si>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</si>
  <si>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</si>
  <si>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</si>
  <si>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</si>
  <si>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</si>
  <si>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</si>
  <si>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</si>
  <si>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</si>
  <si>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</si>
  <si>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</si>
  <si>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</si>
  <si>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</si>
  <si>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</si>
  <si>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</si>
  <si>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</si>
  <si>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</si>
  <si>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</si>
  <si>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</si>
  <si>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</si>
  <si>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</si>
  <si>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</si>
  <si>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</si>
  <si>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</si>
  <si>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</si>
  <si>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</si>
  <si>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</si>
  <si>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</si>
  <si>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</si>
  <si>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</si>
  <si>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</si>
  <si>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</si>
  <si>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</si>
  <si>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</si>
  <si>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</si>
  <si>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</si>
  <si>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</si>
  <si>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</si>
  <si>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</si>
  <si>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</si>
  <si>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</si>
  <si>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</si>
  <si>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</si>
  <si>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</si>
  <si>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</si>
  <si>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</si>
  <si>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</si>
  <si>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</si>
  <si>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</si>
  <si>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</si>
  <si>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</si>
  <si>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</si>
  <si>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</si>
  <si>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</si>
  <si>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</si>
  <si>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</si>
  <si>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</si>
  <si>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</si>
  <si>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</si>
  <si>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</si>
  <si>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</si>
  <si>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</si>
  <si>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</si>
  <si>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</si>
  <si>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</si>
  <si>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</si>
  <si>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</si>
  <si>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</si>
  <si>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</si>
  <si>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</si>
  <si>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</si>
  <si>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</si>
  <si>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</si>
  <si>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</si>
  <si>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</si>
  <si>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</si>
  <si>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</si>
  <si>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</si>
  <si>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</si>
  <si>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</si>
  <si>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</si>
  <si>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</si>
  <si>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</si>
  <si>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</si>
  <si>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</si>
  <si>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</si>
  <si>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</si>
  <si>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</si>
  <si>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</si>
  <si>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</si>
  <si>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</si>
  <si>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</si>
  <si>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</si>
  <si>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</si>
  <si>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</si>
  <si>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</si>
  <si>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</si>
  <si>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</si>
  <si>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</si>
  <si>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</si>
  <si>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</si>
  <si>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</si>
  <si>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</si>
  <si>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</si>
  <si>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</si>
  <si>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</si>
  <si>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</si>
  <si>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</si>
  <si>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</si>
  <si>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</si>
  <si>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</si>
  <si>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</si>
  <si>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</si>
  <si>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</si>
  <si>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</si>
  <si>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</si>
  <si>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</si>
  <si>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</si>
  <si>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</si>
  <si>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</si>
  <si>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</si>
  <si>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</si>
  <si>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</si>
  <si>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</si>
  <si>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</si>
  <si>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</si>
  <si>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</si>
  <si>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</si>
  <si>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</si>
  <si>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</si>
  <si>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</si>
  <si>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</si>
  <si>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</si>
  <si>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</si>
  <si>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</si>
  <si>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</si>
  <si>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</si>
  <si>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</si>
  <si>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</si>
  <si>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</si>
  <si>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</si>
  <si>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</si>
  <si>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</si>
  <si>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</si>
  <si>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</si>
  <si>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</si>
  <si>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</si>
  <si>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</si>
  <si>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</si>
  <si>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</si>
  <si>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</si>
  <si>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</si>
  <si>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</si>
  <si>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</si>
  <si>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</si>
  <si>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</si>
  <si>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</si>
  <si>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</si>
  <si>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</si>
  <si>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</si>
  <si>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</si>
  <si>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</si>
  <si>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</si>
  <si>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</si>
  <si>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</si>
  <si>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</si>
  <si>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</si>
  <si>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</si>
  <si>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</si>
  <si>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</si>
  <si>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</si>
  <si>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</si>
  <si>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</si>
  <si>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</si>
  <si>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</si>
  <si>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</si>
  <si>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</si>
  <si>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</si>
  <si>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</si>
  <si>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</si>
  <si>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</si>
  <si>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</si>
  <si>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</si>
  <si>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</si>
  <si>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</si>
  <si>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</si>
  <si>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</si>
  <si>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</si>
  <si>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</si>
  <si>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</si>
  <si>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</si>
  <si>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</si>
  <si>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</si>
  <si>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</si>
  <si>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</si>
  <si>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</si>
  <si>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</si>
  <si>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</si>
  <si>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</si>
  <si>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</si>
  <si>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</si>
  <si>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</si>
  <si>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</si>
  <si>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</si>
  <si>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</si>
  <si>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</si>
  <si>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</si>
  <si>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</si>
  <si>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</si>
  <si>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</si>
  <si>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</si>
  <si>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</si>
  <si>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</si>
  <si>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</si>
  <si>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</si>
  <si>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</si>
  <si>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</si>
  <si>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</si>
  <si>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</si>
  <si>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</si>
  <si>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</si>
  <si>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</si>
  <si>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</si>
  <si>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</si>
  <si>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</si>
  <si>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</si>
  <si>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</si>
  <si>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</si>
  <si>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</si>
  <si>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</si>
  <si>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</si>
  <si>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</si>
  <si>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</si>
  <si>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</si>
  <si>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</si>
  <si>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</si>
  <si>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</si>
  <si>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</si>
  <si>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</si>
  <si>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</si>
  <si>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</si>
  <si>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</si>
  <si>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</si>
  <si>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</si>
  <si>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</si>
  <si>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</si>
  <si>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</si>
  <si>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</si>
  <si>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</si>
  <si>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</si>
  <si>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</si>
  <si>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</si>
  <si>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</si>
  <si>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</si>
  <si>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</si>
  <si>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</si>
  <si>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</si>
  <si>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</si>
  <si>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</si>
  <si>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</si>
  <si>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</si>
  <si>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</si>
  <si>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</si>
  <si>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</si>
  <si>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</si>
  <si>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</si>
  <si>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</si>
  <si>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</si>
  <si>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</si>
  <si>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</si>
  <si>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</si>
  <si>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</si>
  <si>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</si>
  <si>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</si>
  <si>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</si>
  <si>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</si>
  <si>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</si>
  <si>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</si>
  <si>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</si>
  <si>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</si>
  <si>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</si>
  <si>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</si>
  <si>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</si>
  <si>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</si>
  <si>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</si>
  <si>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</si>
  <si>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</si>
  <si>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</si>
  <si>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</si>
  <si>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</si>
  <si>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</si>
  <si>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</si>
  <si>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</si>
  <si>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</si>
  <si>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</si>
  <si>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</si>
  <si>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</si>
  <si>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</si>
  <si>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</si>
  <si>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</si>
  <si>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</si>
  <si>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</si>
  <si>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</si>
  <si>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</si>
  <si>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</si>
  <si>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</si>
  <si>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</si>
  <si>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</si>
  <si>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</si>
  <si>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</si>
  <si>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</si>
  <si>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</si>
  <si>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</si>
  <si>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</si>
  <si>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</si>
  <si>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</si>
  <si>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</si>
  <si>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</si>
  <si>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</si>
  <si>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</si>
  <si>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</si>
  <si>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</si>
  <si>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</si>
  <si>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</si>
  <si>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</si>
  <si>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</si>
  <si>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</si>
  <si>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</si>
  <si>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</si>
  <si>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</si>
  <si>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</si>
  <si>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</si>
  <si>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</si>
  <si>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</si>
  <si>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</si>
  <si>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</si>
  <si>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</si>
  <si>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</si>
  <si>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</si>
  <si>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</si>
  <si>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</si>
  <si>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</si>
  <si>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</si>
  <si>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</si>
  <si>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</si>
  <si>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</si>
  <si>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</si>
  <si>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</si>
  <si>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</si>
  <si>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</si>
  <si>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</si>
  <si>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</si>
  <si>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</si>
  <si>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</si>
  <si>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</si>
  <si>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</si>
  <si>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</si>
  <si>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</si>
  <si>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</si>
  <si>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</si>
  <si>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</si>
  <si>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</si>
  <si>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</si>
  <si>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</si>
  <si>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</si>
  <si>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</si>
  <si>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</si>
  <si>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</si>
  <si>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</si>
  <si>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</si>
  <si>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</si>
  <si>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</si>
  <si>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</si>
  <si>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</si>
  <si>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</si>
  <si>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</si>
  <si>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</si>
  <si>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</si>
  <si>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</si>
  <si>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</si>
  <si>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</si>
  <si>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</si>
  <si>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</si>
  <si>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</si>
  <si>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</si>
  <si>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</si>
  <si>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</si>
  <si>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</si>
  <si>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</si>
  <si>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</si>
  <si>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</si>
  <si>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</si>
  <si>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</si>
  <si>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</si>
  <si>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</si>
  <si>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</si>
  <si>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</si>
  <si>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</si>
  <si>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</si>
  <si>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</si>
  <si>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</si>
  <si>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</si>
  <si>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</si>
  <si>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</si>
  <si>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</si>
  <si>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</si>
  <si>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</si>
  <si>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</si>
  <si>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</si>
  <si>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</si>
  <si>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</si>
  <si>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</si>
  <si>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</si>
  <si>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</si>
  <si>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</si>
  <si>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</si>
  <si>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</si>
  <si>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</si>
  <si>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</si>
  <si>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</si>
  <si>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</si>
  <si>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</si>
  <si>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</si>
  <si>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</si>
  <si>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</si>
  <si>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</si>
  <si>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</si>
  <si>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</si>
  <si>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</si>
  <si>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</si>
  <si>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</si>
  <si>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</si>
  <si>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</si>
  <si>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</si>
  <si>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</si>
  <si>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</si>
  <si>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</si>
  <si>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</si>
  <si>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</si>
  <si>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</si>
  <si>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</si>
  <si>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</si>
  <si>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</si>
  <si>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</si>
  <si>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</si>
  <si>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</si>
  <si>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</si>
  <si>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</si>
  <si>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</si>
  <si>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</si>
  <si>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</si>
  <si>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</si>
  <si>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</si>
  <si>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</si>
  <si>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</si>
  <si>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</si>
  <si>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</si>
  <si>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</si>
  <si>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</si>
  <si>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</si>
  <si>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</si>
  <si>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</si>
  <si>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</si>
  <si>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</si>
  <si>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</si>
  <si>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</si>
  <si>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</si>
  <si>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</si>
  <si>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</si>
  <si>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</si>
  <si>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</si>
  <si>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</si>
  <si>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</si>
  <si>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</si>
  <si>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</si>
  <si>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</si>
  <si>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</si>
  <si>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</si>
  <si>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</si>
  <si>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</si>
  <si>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</si>
  <si>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</si>
  <si>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</si>
  <si>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</si>
  <si>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</si>
  <si>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</si>
  <si>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</si>
  <si>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</si>
  <si>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</si>
  <si>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</si>
  <si>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</si>
  <si>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</si>
  <si>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</si>
  <si>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</si>
  <si>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</si>
  <si>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</si>
  <si>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</si>
  <si>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</si>
  <si>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</si>
  <si>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</si>
  <si>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</si>
  <si>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</si>
  <si>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</si>
  <si>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</si>
  <si>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</si>
  <si>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</si>
  <si>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</si>
  <si>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</si>
  <si>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</si>
  <si>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</si>
  <si>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</si>
  <si>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</si>
  <si>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</si>
  <si>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</si>
  <si>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</si>
  <si>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</si>
  <si>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</si>
  <si>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</si>
  <si>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</si>
  <si>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</si>
  <si>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</si>
  <si>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</si>
  <si>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</si>
  <si>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</si>
  <si>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</si>
  <si>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</si>
  <si>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</si>
  <si>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</si>
  <si>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</si>
  <si>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</si>
  <si>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</si>
  <si>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</si>
  <si>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</si>
  <si>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</si>
  <si>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</si>
  <si>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</si>
  <si>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</si>
  <si>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</si>
  <si>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</si>
  <si>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</si>
  <si>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</si>
  <si>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</si>
  <si>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</si>
  <si>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</si>
  <si>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</si>
  <si>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</si>
  <si>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</si>
  <si>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</si>
  <si>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</si>
  <si>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</si>
  <si>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</si>
  <si>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</si>
  <si>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</si>
  <si>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</si>
  <si>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</si>
  <si>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</si>
  <si>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</si>
  <si>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</si>
  <si>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</si>
  <si>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</si>
  <si>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</si>
  <si>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</si>
  <si>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</si>
  <si>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</si>
  <si>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</si>
  <si>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</si>
  <si>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</si>
  <si>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</si>
  <si>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</si>
  <si>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</si>
  <si>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</si>
  <si>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</si>
  <si>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</si>
  <si>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</si>
  <si>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</si>
  <si>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</si>
  <si>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</si>
  <si>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</si>
  <si>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</si>
  <si>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</si>
  <si>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</si>
  <si>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</si>
  <si>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</si>
  <si>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</si>
  <si>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</si>
  <si>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</si>
  <si>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</si>
  <si>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</si>
  <si>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</si>
  <si>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</si>
  <si>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</si>
  <si>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</si>
  <si>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</si>
  <si>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</si>
  <si>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</si>
  <si>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</si>
  <si>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</si>
  <si>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</si>
  <si>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</si>
  <si>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</si>
  <si>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</si>
  <si>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</si>
  <si>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</si>
  <si>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</si>
  <si>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</si>
  <si>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</si>
  <si>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</si>
  <si>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</si>
  <si>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</si>
  <si>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</si>
  <si>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</si>
  <si>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</si>
  <si>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</si>
  <si>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</si>
  <si>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</si>
  <si>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</si>
  <si>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</si>
  <si>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</si>
  <si>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</si>
  <si>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</si>
  <si>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</si>
  <si>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</si>
  <si>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</si>
  <si>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</si>
  <si>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</si>
  <si>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</si>
  <si>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</si>
  <si>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</si>
  <si>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</si>
  <si>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</si>
  <si>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</si>
  <si>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</si>
  <si>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</si>
  <si>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</si>
  <si>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</si>
  <si>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</si>
  <si>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</si>
  <si>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</si>
  <si>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</si>
  <si>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</si>
  <si>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</si>
  <si>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</si>
  <si>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</si>
  <si>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</si>
  <si>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</si>
  <si>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</si>
  <si>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</si>
  <si>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</si>
  <si>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</si>
  <si>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</si>
  <si>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</si>
  <si>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</si>
  <si>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</si>
  <si>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</si>
  <si>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</si>
  <si>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</si>
  <si>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</si>
  <si>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</si>
  <si>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</si>
  <si>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</si>
  <si>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</si>
  <si>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</si>
  <si>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</si>
  <si>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</si>
  <si>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</si>
  <si>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</si>
  <si>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</si>
  <si>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</si>
  <si>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</si>
  <si>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</si>
  <si>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</si>
  <si>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</si>
  <si>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</si>
  <si>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</si>
  <si>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</si>
  <si>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</si>
  <si>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</si>
  <si>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</si>
  <si>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</si>
  <si>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</si>
  <si>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</si>
  <si>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</si>
  <si>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</si>
  <si>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</si>
  <si>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</si>
  <si>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</si>
  <si>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</si>
  <si>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</si>
  <si>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</si>
  <si>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</si>
  <si>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</si>
  <si>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</si>
  <si>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</si>
  <si>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</si>
  <si>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</si>
  <si>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</si>
  <si>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</si>
  <si>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</si>
  <si>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</si>
  <si>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</si>
  <si>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</si>
  <si>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</si>
  <si>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</si>
  <si>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</si>
  <si>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</si>
  <si>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</si>
  <si>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</si>
  <si>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</si>
  <si>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</si>
  <si>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</si>
  <si>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</si>
  <si>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</si>
  <si>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</si>
  <si>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</si>
  <si>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</si>
  <si>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</si>
  <si>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</si>
  <si>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</si>
  <si>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</si>
  <si>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</si>
  <si>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</si>
  <si>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</si>
  <si>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</si>
  <si>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</si>
  <si>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</si>
  <si>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</si>
  <si>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</si>
  <si>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</si>
  <si>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</si>
  <si>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</si>
  <si>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</si>
  <si>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</si>
  <si>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</si>
  <si>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</si>
  <si>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</si>
  <si>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</si>
  <si>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</si>
  <si>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</si>
  <si>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</si>
  <si>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</si>
  <si>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</si>
  <si>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</si>
  <si>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</si>
  <si>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</si>
  <si>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</si>
  <si>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</si>
  <si>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</si>
  <si>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</si>
  <si>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</si>
  <si>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</si>
  <si>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</si>
  <si>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</si>
  <si>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</si>
  <si>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</si>
  <si>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</si>
  <si>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</si>
  <si>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</si>
  <si>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</si>
  <si>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</si>
  <si>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</si>
  <si>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</si>
  <si>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</si>
  <si>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</si>
  <si>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</si>
  <si>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</si>
  <si>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</si>
  <si>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</si>
  <si>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</si>
  <si>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</si>
  <si>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</si>
  <si>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</si>
  <si>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</si>
  <si>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</si>
  <si>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</si>
  <si>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</si>
  <si>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</si>
  <si>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</si>
  <si>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</si>
  <si>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</si>
  <si>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</si>
  <si>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</si>
  <si>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</si>
  <si>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</si>
  <si>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</si>
  <si>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</si>
  <si>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</si>
  <si>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</si>
  <si>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</si>
  <si>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</si>
  <si>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</si>
  <si>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</si>
  <si>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</si>
  <si>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</si>
  <si>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</si>
  <si>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</si>
  <si>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</si>
  <si>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</si>
  <si>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</si>
  <si>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</si>
  <si>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</si>
  <si>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</si>
  <si>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</si>
  <si>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</si>
  <si>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</si>
  <si>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</si>
  <si>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</si>
  <si>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</si>
  <si>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</si>
  <si>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</si>
  <si>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</si>
  <si>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</si>
  <si>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</si>
  <si>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</si>
  <si>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</si>
  <si>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</si>
  <si>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</si>
  <si>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</si>
  <si>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</si>
  <si>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</si>
  <si>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</si>
  <si>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</si>
  <si>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</si>
  <si>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</si>
  <si>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</si>
  <si>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</si>
  <si>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</si>
  <si>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</si>
  <si>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</si>
  <si>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</si>
  <si>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</si>
  <si>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</si>
  <si>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</si>
  <si>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</si>
  <si>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</si>
  <si>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</si>
  <si>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</si>
  <si>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</si>
  <si>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</si>
  <si>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</si>
  <si>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</si>
  <si>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</si>
  <si>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</si>
  <si>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</si>
  <si>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</si>
  <si>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</si>
  <si>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</si>
  <si>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</si>
  <si>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</si>
  <si>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</si>
  <si>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</si>
  <si>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</si>
  <si>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</si>
  <si>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</si>
  <si>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</si>
  <si>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</si>
  <si>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</si>
  <si>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</si>
  <si>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</si>
  <si>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</si>
  <si>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</si>
  <si>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</si>
  <si>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</si>
  <si>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</si>
  <si>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</si>
  <si>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</si>
  <si>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</si>
  <si>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</si>
  <si>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</si>
  <si>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</si>
  <si>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</si>
  <si>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</si>
  <si>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</si>
  <si>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</si>
  <si>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</si>
  <si>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</si>
  <si>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</si>
  <si>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</si>
  <si>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</si>
  <si>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</si>
  <si>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</si>
  <si>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</si>
  <si>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</si>
  <si>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</si>
  <si>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</si>
  <si>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</si>
  <si>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</si>
  <si>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</si>
  <si>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</si>
  <si>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</si>
  <si>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</si>
  <si>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</si>
  <si>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</si>
  <si>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</si>
  <si>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</si>
  <si>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</si>
  <si>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</si>
  <si>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</si>
  <si>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</si>
  <si>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</si>
  <si>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</si>
  <si>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</si>
  <si>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</si>
  <si>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</si>
  <si>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</si>
  <si>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</si>
  <si>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</si>
  <si>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</si>
  <si>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</si>
  <si>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</si>
  <si>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</si>
  <si>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</si>
  <si>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</si>
  <si>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</si>
  <si>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</si>
  <si>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</si>
  <si>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</si>
  <si>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</si>
  <si>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</si>
  <si>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</si>
  <si>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</si>
  <si>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</si>
  <si>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</si>
  <si>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</si>
  <si>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</si>
  <si>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</si>
  <si>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</si>
  <si>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</si>
  <si>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</si>
  <si>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</si>
  <si>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</si>
  <si>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</si>
  <si>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</si>
  <si>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</si>
  <si>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</si>
  <si>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</si>
  <si>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</si>
  <si>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</si>
  <si>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</si>
  <si>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</si>
  <si>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</si>
  <si>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</si>
  <si>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</si>
  <si>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</si>
  <si>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</si>
  <si>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</si>
  <si>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</si>
  <si>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</si>
  <si>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</si>
  <si>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</si>
  <si>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</si>
  <si>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</si>
  <si>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</si>
  <si>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</si>
  <si>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</si>
  <si>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</si>
  <si>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</si>
  <si>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</si>
  <si>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</si>
  <si>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</si>
  <si>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</si>
  <si>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</si>
  <si>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</si>
  <si>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</si>
  <si>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</si>
  <si>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</si>
  <si>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</si>
  <si>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</si>
  <si>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</si>
  <si>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</si>
  <si>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</si>
  <si>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</si>
  <si>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</si>
  <si>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</si>
  <si>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</si>
  <si>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</si>
  <si>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</si>
  <si>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</si>
  <si>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</si>
  <si>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</si>
  <si>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</si>
  <si>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</si>
  <si>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</si>
  <si>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</si>
  <si>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</si>
  <si>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</si>
  <si>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</si>
  <si>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</si>
  <si>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</si>
  <si>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</si>
  <si>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</si>
  <si>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</si>
  <si>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</si>
  <si>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</si>
  <si>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</si>
  <si>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</si>
  <si>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</si>
  <si>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</si>
  <si>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</si>
  <si>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</si>
  <si>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</si>
  <si>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</si>
  <si>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</si>
  <si>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</si>
  <si>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</si>
  <si>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</si>
  <si>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</si>
  <si>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</si>
  <si>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</si>
  <si>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</si>
  <si>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</si>
  <si>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</si>
  <si>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</si>
  <si>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</si>
  <si>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</si>
  <si>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</si>
  <si>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</si>
  <si>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</si>
  <si>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</si>
  <si>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</si>
  <si>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</si>
  <si>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</si>
  <si>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</si>
  <si>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</si>
  <si>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</si>
  <si>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</si>
  <si>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</si>
  <si>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</si>
  <si>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</si>
  <si>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</si>
  <si>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</si>
  <si>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</si>
  <si>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</si>
  <si>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</si>
  <si>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</si>
  <si>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</si>
  <si>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</si>
  <si>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</si>
  <si>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</si>
  <si>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</si>
  <si>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</si>
  <si>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</si>
  <si>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</si>
  <si>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</si>
  <si>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</si>
  <si>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</si>
  <si>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</si>
  <si>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</si>
  <si>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</si>
  <si>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</si>
  <si>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</si>
  <si>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</si>
  <si>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</si>
  <si>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</si>
  <si>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</si>
  <si>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</si>
  <si>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</si>
  <si>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</si>
  <si>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</si>
  <si>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</si>
  <si>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</si>
  <si>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</si>
  <si>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</si>
  <si>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</si>
  <si>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</si>
  <si>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</si>
  <si>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</si>
  <si>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</si>
  <si>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</si>
  <si>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</si>
  <si>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</si>
  <si>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</si>
  <si>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</si>
  <si>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</si>
  <si>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</si>
  <si>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</si>
  <si>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</si>
  <si>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</si>
  <si>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</si>
  <si>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</si>
  <si>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</si>
  <si>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</si>
  <si>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</si>
  <si>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</si>
  <si>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</si>
  <si>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</si>
  <si>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</si>
  <si>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</si>
  <si>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</si>
  <si>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</si>
  <si>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</si>
  <si>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</si>
  <si>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</si>
  <si>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</si>
  <si>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</si>
  <si>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</si>
  <si>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</si>
  <si>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</si>
  <si>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</si>
  <si>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</si>
  <si>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</si>
  <si>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</si>
  <si>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</si>
  <si>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</si>
  <si>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</si>
  <si>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</si>
  <si>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</si>
  <si>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</si>
  <si>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</si>
  <si>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</si>
  <si>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</si>
  <si>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</si>
  <si>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</si>
  <si>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</si>
  <si>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</si>
  <si>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</si>
  <si>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</si>
  <si>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</si>
  <si>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</si>
  <si>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</si>
  <si>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</si>
  <si>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</si>
  <si>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</si>
  <si>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</si>
  <si>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</si>
  <si>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</si>
  <si>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</si>
  <si>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</si>
  <si>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</si>
  <si>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</si>
  <si>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</si>
  <si>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</si>
  <si>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</si>
  <si>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</si>
  <si>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</si>
  <si>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</si>
  <si>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</si>
  <si>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</si>
  <si>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</si>
  <si>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</si>
  <si>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</si>
  <si>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</si>
  <si>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</si>
  <si>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</si>
  <si>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</si>
  <si>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</si>
  <si>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</si>
  <si>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</si>
  <si>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</si>
  <si>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</si>
  <si>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</si>
  <si>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</si>
  <si>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</si>
  <si>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</si>
  <si>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</si>
  <si>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</si>
  <si>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</si>
  <si>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</si>
  <si>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</si>
  <si>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</si>
  <si>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</si>
  <si>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</si>
  <si>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</si>
  <si>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</si>
  <si>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</si>
  <si>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</si>
  <si>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</si>
  <si>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</si>
  <si>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</si>
  <si>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</si>
  <si>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</si>
  <si>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</si>
  <si>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</si>
  <si>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</si>
  <si>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</si>
  <si>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</si>
  <si>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</si>
  <si>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</si>
  <si>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</si>
  <si>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</si>
  <si>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</si>
  <si>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</si>
  <si>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</si>
  <si>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</si>
  <si>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</si>
  <si>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</si>
  <si>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</si>
  <si>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</si>
  <si>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</si>
  <si>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</si>
  <si>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</si>
  <si>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</si>
  <si>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</si>
  <si>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</si>
  <si>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</si>
  <si>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</si>
  <si>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</si>
  <si>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</si>
  <si>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</si>
  <si>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</si>
  <si>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</si>
  <si>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</si>
  <si>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</si>
  <si>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</si>
  <si>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</si>
  <si>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</si>
  <si>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</si>
  <si>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</si>
  <si>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</si>
  <si>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</si>
  <si>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</si>
  <si>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</si>
  <si>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</si>
  <si>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</si>
  <si>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</si>
  <si>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</si>
  <si>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</si>
  <si>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</si>
  <si>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</si>
  <si>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</si>
  <si>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</si>
  <si>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</si>
  <si>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</si>
  <si>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</si>
  <si>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</si>
  <si>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</si>
  <si>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</si>
  <si>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</si>
  <si>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</si>
  <si>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</si>
  <si>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</si>
  <si>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</si>
  <si>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</si>
  <si>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</si>
  <si>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</si>
  <si>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</si>
  <si>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</si>
  <si>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</si>
  <si>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</si>
  <si>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</si>
  <si>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</si>
  <si>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</si>
  <si>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</si>
  <si>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</si>
  <si>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</si>
  <si>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</si>
  <si>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</si>
  <si>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</si>
  <si>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</si>
  <si>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</si>
  <si>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</si>
  <si>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</si>
  <si>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</si>
  <si>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</si>
  <si>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</si>
  <si>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</si>
  <si>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</si>
  <si>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</si>
  <si>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</si>
  <si>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</si>
  <si>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</si>
  <si>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</si>
  <si>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</si>
  <si>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</si>
  <si>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</si>
  <si>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</si>
  <si>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</si>
  <si>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</si>
  <si>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</si>
  <si>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</si>
  <si>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</si>
  <si>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</si>
  <si>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</si>
  <si>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</si>
  <si>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</si>
  <si>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</si>
  <si>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</si>
  <si>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</si>
  <si>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</si>
  <si>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</si>
  <si>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</si>
  <si>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</si>
  <si>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</si>
  <si>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</si>
  <si>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</si>
  <si>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</si>
  <si>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</si>
  <si>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</si>
  <si>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</si>
  <si>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</si>
  <si>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</si>
  <si>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</si>
  <si>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</si>
  <si>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</si>
  <si>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</si>
  <si>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</si>
  <si>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</si>
  <si>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</si>
  <si>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</si>
  <si>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</si>
  <si>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</si>
  <si>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</si>
  <si>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</si>
  <si>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</si>
  <si>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</si>
  <si>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</si>
  <si>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</si>
  <si>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</si>
  <si>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</si>
  <si>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</si>
  <si>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</si>
  <si>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</si>
  <si>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</si>
  <si>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</si>
  <si>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</si>
  <si>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</si>
  <si>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</si>
  <si>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</si>
  <si>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</si>
  <si>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</si>
  <si>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</si>
  <si>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</si>
  <si>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</si>
  <si>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</si>
  <si>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</si>
  <si>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</si>
  <si>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</si>
  <si>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</si>
  <si>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</si>
  <si>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</si>
  <si>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</si>
  <si>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</si>
  <si>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</si>
  <si>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</si>
  <si>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</si>
  <si>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</si>
  <si>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</si>
  <si>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</si>
  <si>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</si>
  <si>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</si>
  <si>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</si>
  <si>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</si>
  <si>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</si>
  <si>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</si>
  <si>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</si>
  <si>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</si>
  <si>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</si>
  <si>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</si>
  <si>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</si>
  <si>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</si>
  <si>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</si>
  <si>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</si>
  <si>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</si>
  <si>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</si>
  <si>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</si>
  <si>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</si>
  <si>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</si>
  <si>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</si>
  <si>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</si>
  <si>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</si>
  <si>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</si>
  <si>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</si>
  <si>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</si>
  <si>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</si>
  <si>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</si>
  <si>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</si>
  <si>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</si>
  <si>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</si>
  <si>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</si>
  <si>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</si>
  <si>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</si>
  <si>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</si>
  <si>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</si>
  <si>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</si>
  <si>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</si>
  <si>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</si>
  <si>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</si>
  <si>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</si>
  <si>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</si>
  <si>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</si>
  <si>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</si>
  <si>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</si>
  <si>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</si>
  <si>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</si>
  <si>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</si>
  <si>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</si>
  <si>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</si>
  <si>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</si>
  <si>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</si>
  <si>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</si>
  <si>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</si>
  <si>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</si>
  <si>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</si>
  <si>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</si>
  <si>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</si>
  <si>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</si>
  <si>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</si>
  <si>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</si>
  <si>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</si>
  <si>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</si>
  <si>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</si>
  <si>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</si>
  <si>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</si>
  <si>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</si>
  <si>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</si>
  <si>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</si>
  <si>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</si>
  <si>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</si>
  <si>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</si>
  <si>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</si>
  <si>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</si>
  <si>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</si>
  <si>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</si>
  <si>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</si>
  <si>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</si>
  <si>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</si>
  <si>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</si>
  <si>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</si>
  <si>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</si>
  <si>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</si>
  <si>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</si>
  <si>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</si>
  <si>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</si>
  <si>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</si>
  <si>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</si>
  <si>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</si>
  <si>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</si>
  <si>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</si>
  <si>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</si>
  <si>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</si>
  <si>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</si>
  <si>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</si>
  <si>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</si>
  <si>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</si>
  <si>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</si>
  <si>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</si>
  <si>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</si>
  <si>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</si>
  <si>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</si>
  <si>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</si>
  <si>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</si>
  <si>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</si>
  <si>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</si>
  <si>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</si>
  <si>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</si>
  <si>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</si>
  <si>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</si>
  <si>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</si>
  <si>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</si>
  <si>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</si>
  <si>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</si>
  <si>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</si>
  <si>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</si>
  <si>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</si>
  <si>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</si>
  <si>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</si>
  <si>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</si>
  <si>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</si>
  <si>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</si>
  <si>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</si>
  <si>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</si>
  <si>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</si>
  <si>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</si>
  <si>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</si>
  <si>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</si>
  <si>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</si>
  <si>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</si>
  <si>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</si>
  <si>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</si>
  <si>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</si>
  <si>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</si>
  <si>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</si>
  <si>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</si>
  <si>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</si>
  <si>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</si>
  <si>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</si>
  <si>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</si>
  <si>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</si>
  <si>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</si>
  <si>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</si>
  <si>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</si>
  <si>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</si>
  <si>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</si>
  <si>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</si>
  <si>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</si>
  <si>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</si>
  <si>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</si>
  <si>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</si>
  <si>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</si>
  <si>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</si>
  <si>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</si>
  <si>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</si>
  <si>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</si>
  <si>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</si>
  <si>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</si>
  <si>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</si>
  <si>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</si>
  <si>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</si>
  <si>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</si>
  <si>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</si>
  <si>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</si>
  <si>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</si>
  <si>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</si>
  <si>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</si>
  <si>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</si>
  <si>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</si>
  <si>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</si>
  <si>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</si>
  <si>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</si>
  <si>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</si>
  <si>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</si>
  <si>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</si>
  <si>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</si>
  <si>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</si>
  <si>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</si>
  <si>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</si>
  <si>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</si>
  <si>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</si>
  <si>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</si>
  <si>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</si>
  <si>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</si>
  <si>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</si>
  <si>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</si>
  <si>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</si>
  <si>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</si>
  <si>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</si>
  <si>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</si>
  <si>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</si>
  <si>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</si>
  <si>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</si>
  <si>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</si>
  <si>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</si>
  <si>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</si>
  <si>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</si>
  <si>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</si>
  <si>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</si>
  <si>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</si>
  <si>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</si>
  <si>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</si>
  <si>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</si>
  <si>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</si>
  <si>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</si>
  <si>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</si>
  <si>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</si>
  <si>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</si>
  <si>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</si>
  <si>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</si>
  <si>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</si>
  <si>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</si>
  <si>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</si>
  <si>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</si>
  <si>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</si>
  <si>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</si>
  <si>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</si>
  <si>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</si>
  <si>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</si>
  <si>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</si>
  <si>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</si>
  <si>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</si>
  <si>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</si>
  <si>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</si>
  <si>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</si>
  <si>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</si>
  <si>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</si>
  <si>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</si>
  <si>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</si>
  <si>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</si>
  <si>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</si>
  <si>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</si>
  <si>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</si>
  <si>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</si>
  <si>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</si>
  <si>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</si>
  <si>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</si>
  <si>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</si>
  <si>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</si>
  <si>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</si>
  <si>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</si>
  <si>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</si>
  <si>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</si>
  <si>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</si>
  <si>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</si>
  <si>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</si>
  <si>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</si>
  <si>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</si>
  <si>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</si>
  <si>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</si>
  <si>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</si>
  <si>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</si>
  <si>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</si>
  <si>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</si>
  <si>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</si>
  <si>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</si>
  <si>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</si>
  <si>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</si>
  <si>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</si>
  <si>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</si>
  <si>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</si>
  <si>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</si>
  <si>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</si>
  <si>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</si>
  <si>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</si>
  <si>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</si>
  <si>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</si>
  <si>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</si>
  <si>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</si>
  <si>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</si>
  <si>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</si>
  <si>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</si>
  <si>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</si>
  <si>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</si>
  <si>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</si>
  <si>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</si>
  <si>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</si>
  <si>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</si>
  <si>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</si>
  <si>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</si>
  <si>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</si>
  <si>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</si>
  <si>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</si>
  <si>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</si>
  <si>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</si>
  <si>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</si>
  <si>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</si>
  <si>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</si>
  <si>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</si>
  <si>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</si>
  <si>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</si>
  <si>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</si>
  <si>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</si>
  <si>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</si>
  <si>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</si>
  <si>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</si>
  <si>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</si>
  <si>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</si>
  <si>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</si>
  <si>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</si>
  <si>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</si>
  <si>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</si>
  <si>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</si>
  <si>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</si>
  <si>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</si>
  <si>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</si>
  <si>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</si>
  <si>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</si>
  <si>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</si>
  <si>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</si>
  <si>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</si>
  <si>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</si>
  <si>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</si>
  <si>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</si>
  <si>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</si>
  <si>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</si>
  <si>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</si>
  <si>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</si>
  <si>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</si>
  <si>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</si>
  <si>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</si>
  <si>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</si>
  <si>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</si>
  <si>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</si>
  <si>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</si>
  <si>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</si>
  <si>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</si>
  <si>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</si>
  <si>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</si>
  <si>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</si>
  <si>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</si>
  <si>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</si>
  <si>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</si>
  <si>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</si>
  <si>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</si>
  <si>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</si>
  <si>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</si>
  <si>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</si>
  <si>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</si>
  <si>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</si>
  <si>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</si>
  <si>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</si>
  <si>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</si>
  <si>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</si>
  <si>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</si>
  <si>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</si>
  <si>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</si>
  <si>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</si>
  <si>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</si>
  <si>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</si>
  <si>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</si>
  <si>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</si>
  <si>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</si>
  <si>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</si>
  <si>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</si>
  <si>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</si>
  <si>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</si>
  <si>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</si>
  <si>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</si>
  <si>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</si>
  <si>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</si>
  <si>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</si>
  <si>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</si>
  <si>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</si>
  <si>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</si>
  <si>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</si>
  <si>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</si>
  <si>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</si>
  <si>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</si>
  <si>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</si>
  <si>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</si>
  <si>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</si>
  <si>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</si>
  <si>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</si>
  <si>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</si>
  <si>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</si>
  <si>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</si>
  <si>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</si>
  <si>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</si>
  <si>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</si>
  <si>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</si>
  <si>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</si>
  <si>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</si>
  <si>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</si>
  <si>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</si>
  <si>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</si>
  <si>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</si>
  <si>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</si>
  <si>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</si>
  <si>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</si>
  <si>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</si>
  <si>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</si>
  <si>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</si>
  <si>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</si>
  <si>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</si>
  <si>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</si>
  <si>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</si>
  <si>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</si>
  <si>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</si>
  <si>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</si>
  <si>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</si>
  <si>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</si>
  <si>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</si>
  <si>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</si>
  <si>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</si>
  <si>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</si>
  <si>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</si>
  <si>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</si>
  <si>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</si>
  <si>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</si>
  <si>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</si>
  <si>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</si>
  <si>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</si>
  <si>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</si>
  <si>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</si>
  <si>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</si>
  <si>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</si>
  <si>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</si>
  <si>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</si>
  <si>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</si>
  <si>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</si>
  <si>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</si>
  <si>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</si>
  <si>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</si>
  <si>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</si>
  <si>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</si>
  <si>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</si>
  <si>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</si>
  <si>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</si>
  <si>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</si>
  <si>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</si>
  <si>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</si>
  <si>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</si>
  <si>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</si>
  <si>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</si>
  <si>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</si>
  <si>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</si>
  <si>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</si>
  <si>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</si>
  <si>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</si>
  <si>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</si>
  <si>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</si>
  <si>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</si>
  <si>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</si>
  <si>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</si>
  <si>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</si>
  <si>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</si>
  <si>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</si>
  <si>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</si>
  <si>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</si>
  <si>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</si>
  <si>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</si>
  <si>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</si>
  <si>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</si>
  <si>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</si>
  <si>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</si>
  <si>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</si>
  <si>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</si>
  <si>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</si>
  <si>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</si>
  <si>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</si>
  <si>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</si>
  <si>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</si>
  <si>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</si>
  <si>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</si>
  <si>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</si>
  <si>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</si>
  <si>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</si>
  <si>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</si>
  <si>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</si>
  <si>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</si>
  <si>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</si>
  <si>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</si>
  <si>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</si>
  <si>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</si>
  <si>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</si>
  <si>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</si>
  <si>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</si>
  <si>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</si>
  <si>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</si>
  <si>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</si>
  <si>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</si>
  <si>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</si>
  <si>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</si>
  <si>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</si>
  <si>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</si>
  <si>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</si>
  <si>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</si>
  <si>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</si>
  <si>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</si>
  <si>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</si>
  <si>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</si>
  <si>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</si>
  <si>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</si>
  <si>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</si>
  <si>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</si>
  <si>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</si>
  <si>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</si>
  <si>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</si>
  <si>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</si>
  <si>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</si>
  <si>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</si>
  <si>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</si>
  <si>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</si>
  <si>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</si>
  <si>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</si>
  <si>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</si>
  <si>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</si>
  <si>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</si>
  <si>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</si>
  <si>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</si>
  <si>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</si>
  <si>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</si>
  <si>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</si>
  <si>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</si>
  <si>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</si>
  <si>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</si>
  <si>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</si>
  <si>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</si>
  <si>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</si>
  <si>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</si>
  <si>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</si>
  <si>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</si>
  <si>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</si>
  <si>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</si>
  <si>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</si>
  <si>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</si>
  <si>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</si>
  <si>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</si>
  <si>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</si>
  <si>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</si>
  <si>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</si>
  <si>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</si>
  <si>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</si>
  <si>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</si>
  <si>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</si>
  <si>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</si>
  <si>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</si>
  <si>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</si>
  <si>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</si>
  <si>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</si>
  <si>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</si>
  <si>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</si>
  <si>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</si>
  <si>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</si>
  <si>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</si>
  <si>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</si>
  <si>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</si>
  <si>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</si>
  <si>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</si>
  <si>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</si>
  <si>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</si>
  <si>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</si>
  <si>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</si>
  <si>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</si>
  <si>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</si>
  <si>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</si>
  <si>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</si>
  <si>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</si>
  <si>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</si>
  <si>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</si>
  <si>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</si>
  <si>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</si>
  <si>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</si>
  <si>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</si>
  <si>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</si>
  <si>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</si>
  <si>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</si>
  <si>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</si>
  <si>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</si>
  <si>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</si>
  <si>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</si>
  <si>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</si>
  <si>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</si>
  <si>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</si>
  <si>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</si>
  <si>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</si>
  <si>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</si>
  <si>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</si>
  <si>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</si>
  <si>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</si>
  <si>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</si>
  <si>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</si>
  <si>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</si>
  <si>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</si>
  <si>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</si>
  <si>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</si>
  <si>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</si>
  <si>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</si>
  <si>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</si>
  <si>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</si>
  <si>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</si>
  <si>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</si>
  <si>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</si>
  <si>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</si>
  <si>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</si>
  <si>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</si>
  <si>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</si>
  <si>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</si>
  <si>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</si>
  <si>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</si>
  <si>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</si>
  <si>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</si>
  <si>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</si>
  <si>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</si>
  <si>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</si>
  <si>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</si>
  <si>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</si>
  <si>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</si>
  <si>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</si>
  <si>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</si>
  <si>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</si>
  <si>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</si>
  <si>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</si>
  <si>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</si>
  <si>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</si>
  <si>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</si>
  <si>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</si>
  <si>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</si>
  <si>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</si>
  <si>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</si>
  <si>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</si>
  <si>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</si>
  <si>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</si>
  <si>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</si>
  <si>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</si>
  <si>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</si>
  <si>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</si>
  <si>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</si>
  <si>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</si>
  <si>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</si>
  <si>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</si>
  <si>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</si>
  <si>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</si>
  <si>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</si>
  <si>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</si>
  <si>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</si>
  <si>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</si>
  <si>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</si>
  <si>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</si>
  <si>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</si>
  <si>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</si>
  <si>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</si>
  <si>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</si>
  <si>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</si>
  <si>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</si>
  <si>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</si>
  <si>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</si>
  <si>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</si>
  <si>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</si>
  <si>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</si>
  <si>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</si>
  <si>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</si>
  <si>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</si>
  <si>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</si>
  <si>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</si>
  <si>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</si>
  <si>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</si>
  <si>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</si>
  <si>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</si>
  <si>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</si>
  <si>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</si>
  <si>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</si>
  <si>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</si>
  <si>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</si>
  <si>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</si>
  <si>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</si>
  <si>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</si>
  <si>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</si>
  <si>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</si>
  <si>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</si>
  <si>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</si>
  <si>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</si>
  <si>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</si>
  <si>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</si>
  <si>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</si>
  <si>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</si>
  <si>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</si>
  <si>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</si>
  <si>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</si>
  <si>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</si>
  <si>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</si>
  <si>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</si>
  <si>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</si>
  <si>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</si>
  <si>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</si>
  <si>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</si>
  <si>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</si>
  <si>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</si>
  <si>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</si>
  <si>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</si>
  <si>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</si>
  <si>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</si>
  <si>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</si>
  <si>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</si>
  <si>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</si>
  <si>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</si>
  <si>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</si>
  <si>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</si>
  <si>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</si>
  <si>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</si>
  <si>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</si>
  <si>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</si>
  <si>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</si>
  <si>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</si>
  <si>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</si>
  <si>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</si>
  <si>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</si>
  <si>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</si>
  <si>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</si>
  <si>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</si>
  <si>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</si>
  <si>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</si>
  <si>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</si>
  <si>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</si>
  <si>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</si>
  <si>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</si>
  <si>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</si>
  <si>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</si>
  <si>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</si>
  <si>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</si>
  <si>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</si>
  <si>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</si>
  <si>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</si>
  <si>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</si>
  <si>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</si>
  <si>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</si>
  <si>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</si>
  <si>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</si>
  <si>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</si>
  <si>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</si>
  <si>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</si>
  <si>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</si>
  <si>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</si>
  <si>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</si>
  <si>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</si>
  <si>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</si>
  <si>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</si>
  <si>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</si>
  <si>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</si>
  <si>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</si>
  <si>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</si>
  <si>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</si>
  <si>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</si>
  <si>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</si>
  <si>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</si>
  <si>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</si>
  <si>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</si>
  <si>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</si>
  <si>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</si>
  <si>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</si>
  <si>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</si>
  <si>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</si>
  <si>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</si>
  <si>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</si>
  <si>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</si>
  <si>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</si>
  <si>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</si>
  <si>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</si>
  <si>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</si>
  <si>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</si>
  <si>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</si>
  <si>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</si>
  <si>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</si>
  <si>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</si>
  <si>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</si>
  <si>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</si>
  <si>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</si>
  <si>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</si>
  <si>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</si>
  <si>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</si>
  <si>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</si>
  <si>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</si>
  <si>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</si>
  <si>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</si>
  <si>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</si>
  <si>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</si>
  <si>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</si>
  <si>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</si>
  <si>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</si>
  <si>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</si>
  <si>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</si>
  <si>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</si>
  <si>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</si>
  <si>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</si>
  <si>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</si>
  <si>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</si>
  <si>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</si>
  <si>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</si>
  <si>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</si>
  <si>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</si>
  <si>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</si>
  <si>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</si>
  <si>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</si>
  <si>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</si>
  <si>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</si>
  <si>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</si>
  <si>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</si>
  <si>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</si>
  <si>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</si>
  <si>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</si>
  <si>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</si>
  <si>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</si>
  <si>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</si>
  <si>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</si>
  <si>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</si>
  <si>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</si>
  <si>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</si>
  <si>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</si>
  <si>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</si>
  <si>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</si>
  <si>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</si>
  <si>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</si>
  <si>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</si>
  <si>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</si>
  <si>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</si>
  <si>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</si>
  <si>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</si>
  <si>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</si>
  <si>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</si>
  <si>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</si>
  <si>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</si>
  <si>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</si>
  <si>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</si>
  <si>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</si>
  <si>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</si>
  <si>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</si>
  <si>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</si>
  <si>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</si>
  <si>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</si>
  <si>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</si>
  <si>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</si>
  <si>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</si>
  <si>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</si>
  <si>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</si>
  <si>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</si>
  <si>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</si>
  <si>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</si>
  <si>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</si>
  <si>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</si>
  <si>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</si>
  <si>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</si>
  <si>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</si>
  <si>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</si>
  <si>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</si>
  <si>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</si>
  <si>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</si>
  <si>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</si>
  <si>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</si>
  <si>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</si>
  <si>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</si>
  <si>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</si>
  <si>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</si>
  <si>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</si>
  <si>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</si>
  <si>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</si>
  <si>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</si>
  <si>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</si>
  <si>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</si>
  <si>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</si>
  <si>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</si>
  <si>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</si>
  <si>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</si>
  <si>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</si>
  <si>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</si>
  <si>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</si>
  <si>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</si>
  <si>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</si>
  <si>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</si>
  <si>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</si>
  <si>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</si>
  <si>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</si>
  <si>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</si>
  <si>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</si>
  <si>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</si>
  <si>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</si>
  <si>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</si>
  <si>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</si>
  <si>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</si>
  <si>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</si>
  <si>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</si>
  <si>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</si>
  <si>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</si>
  <si>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</si>
  <si>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</si>
  <si>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</si>
  <si>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</si>
  <si>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</si>
  <si>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</si>
  <si>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</si>
  <si>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</si>
  <si>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</si>
  <si>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</si>
  <si>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</si>
  <si>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</si>
  <si>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</si>
  <si>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</si>
  <si>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</si>
  <si>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</si>
  <si>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</si>
  <si>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</si>
  <si>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</si>
  <si>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</si>
  <si>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</si>
  <si>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</si>
  <si>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</si>
  <si>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</si>
  <si>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</si>
  <si>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</si>
  <si>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</si>
  <si>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</si>
  <si>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</si>
  <si>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</si>
  <si>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</si>
  <si>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</si>
  <si>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</si>
  <si>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</si>
  <si>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</si>
  <si>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</si>
  <si>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</si>
  <si>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</si>
  <si>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</si>
  <si>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</si>
  <si>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</si>
  <si>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</si>
  <si>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</si>
  <si>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</si>
  <si>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</si>
  <si>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</si>
  <si>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</si>
  <si>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</si>
  <si>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</si>
  <si>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</si>
  <si>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</si>
  <si>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</si>
  <si>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</si>
  <si>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</si>
  <si>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</si>
  <si>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</si>
  <si>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</si>
  <si>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</si>
  <si>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</si>
  <si>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</si>
  <si>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</si>
  <si>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</si>
  <si>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</si>
  <si>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</si>
  <si>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</si>
  <si>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</si>
  <si>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</si>
  <si>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</si>
  <si>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</si>
  <si>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</si>
  <si>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</si>
  <si>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</si>
  <si>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</si>
  <si>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</si>
  <si>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</si>
  <si>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</si>
  <si>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</si>
  <si>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</si>
  <si>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</si>
  <si>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</si>
  <si>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</si>
  <si>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</si>
  <si>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</si>
  <si>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</si>
  <si>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</si>
  <si>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</si>
  <si>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</si>
  <si>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</si>
  <si>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</si>
  <si>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</si>
  <si>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</si>
  <si>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</si>
  <si>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</si>
  <si>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</si>
  <si>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</si>
  <si>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</si>
  <si>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</si>
  <si>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</si>
  <si>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</si>
  <si>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</si>
  <si>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</si>
  <si>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</si>
  <si>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</si>
  <si>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</si>
  <si>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</si>
  <si>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</si>
  <si>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</si>
  <si>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</si>
  <si>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</si>
  <si>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</si>
  <si>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</si>
  <si>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</si>
  <si>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</si>
  <si>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</si>
  <si>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</si>
  <si>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</si>
  <si>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</si>
  <si>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</si>
  <si>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</si>
  <si>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</si>
  <si>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</si>
  <si>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</si>
  <si>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</si>
  <si>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</si>
  <si>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</si>
  <si>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</si>
  <si>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</si>
  <si>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</si>
  <si>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</si>
  <si>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</si>
  <si>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</si>
  <si>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</si>
  <si>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</si>
  <si>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</si>
  <si>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</si>
  <si>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</si>
  <si>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</si>
  <si>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</si>
  <si>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</si>
  <si>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</si>
  <si>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</si>
  <si>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</si>
  <si>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</si>
  <si>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</si>
  <si>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</si>
  <si>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</si>
  <si>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</si>
  <si>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</si>
  <si>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</si>
  <si>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</si>
  <si>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</si>
  <si>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</si>
  <si>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</si>
  <si>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</si>
  <si>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</si>
  <si>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</si>
  <si>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</si>
  <si>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</si>
  <si>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</si>
  <si>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</si>
  <si>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</si>
  <si>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</si>
  <si>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</si>
  <si>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</si>
  <si>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</si>
  <si>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</si>
  <si>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</si>
  <si>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</si>
  <si>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</si>
  <si>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</si>
  <si>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</si>
  <si>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</si>
  <si>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</si>
  <si>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</si>
  <si>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</si>
  <si>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</si>
  <si>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</si>
  <si>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</si>
  <si>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</si>
  <si>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</si>
  <si>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</si>
  <si>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</si>
  <si>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</si>
  <si>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</si>
  <si>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</si>
  <si>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</si>
  <si>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</si>
  <si>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</si>
  <si>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</si>
  <si>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</si>
  <si>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</si>
  <si>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</si>
  <si>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</si>
  <si>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</si>
  <si>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</si>
  <si>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</si>
  <si>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</si>
  <si>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</si>
  <si>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</si>
  <si>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</si>
  <si>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</si>
  <si>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</si>
  <si>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</si>
  <si>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</si>
  <si>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</si>
  <si>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</si>
  <si>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</si>
  <si>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</si>
  <si>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</si>
  <si>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</si>
  <si>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</si>
  <si>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</si>
  <si>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</si>
  <si>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</si>
  <si>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</si>
  <si>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</si>
  <si>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</si>
  <si>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</si>
  <si>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</si>
  <si>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</si>
  <si>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</si>
  <si>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</si>
  <si>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</si>
  <si>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</si>
  <si>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</si>
  <si>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</si>
  <si>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</si>
  <si>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</si>
  <si>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</si>
  <si>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</si>
  <si>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</si>
  <si>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</si>
  <si>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</si>
  <si>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</si>
  <si>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</si>
  <si>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</si>
  <si>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</si>
  <si>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</si>
  <si>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</si>
  <si>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</si>
  <si>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</si>
  <si>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</si>
  <si>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</si>
  <si>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</si>
  <si>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</si>
  <si>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</si>
  <si>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</si>
  <si>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</si>
  <si>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</si>
  <si>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</si>
  <si>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</si>
  <si>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</si>
  <si>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</si>
  <si>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</si>
  <si>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</si>
  <si>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</si>
  <si>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</si>
  <si>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</si>
  <si>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</si>
  <si>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</si>
  <si>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</si>
  <si>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</si>
  <si>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</si>
  <si>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</si>
  <si>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</si>
  <si>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</si>
  <si>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</si>
  <si>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</si>
  <si>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</si>
  <si>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</si>
  <si>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</si>
  <si>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</si>
  <si>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</si>
  <si>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</si>
  <si>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</si>
  <si>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</si>
  <si>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</si>
  <si>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</si>
  <si>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</si>
  <si>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</si>
  <si>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</si>
  <si>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</si>
  <si>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</si>
  <si>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</si>
  <si>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</si>
  <si>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</si>
  <si>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</si>
  <si>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</si>
  <si>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</si>
  <si>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</si>
  <si>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</si>
  <si>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</si>
  <si>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</si>
  <si>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</si>
  <si>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</si>
  <si>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</si>
  <si>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</si>
  <si>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</si>
  <si>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</si>
  <si>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</si>
  <si>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</si>
  <si>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</si>
  <si>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</si>
  <si>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</si>
  <si>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</si>
  <si>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</si>
  <si>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</si>
  <si>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</si>
  <si>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</si>
  <si>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</si>
  <si>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</si>
  <si>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</si>
  <si>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</si>
  <si>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</si>
  <si>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</si>
  <si>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</si>
  <si>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</si>
  <si>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</si>
  <si>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</si>
  <si>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</si>
  <si>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</si>
  <si>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</si>
  <si>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</si>
  <si>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</si>
  <si>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</si>
  <si>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</si>
  <si>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</si>
  <si>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</si>
  <si>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</si>
  <si>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</si>
  <si>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</si>
  <si>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</si>
  <si>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</si>
  <si>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</si>
  <si>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</si>
  <si>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</si>
  <si>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</si>
  <si>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</si>
  <si>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</si>
  <si>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</si>
  <si>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</si>
  <si>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</si>
  <si>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</si>
  <si>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</si>
  <si>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</si>
  <si>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</si>
  <si>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</si>
  <si>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</si>
  <si>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</si>
  <si>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</si>
  <si>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</si>
  <si>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</si>
  <si>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</si>
  <si>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</si>
  <si>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</si>
  <si>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</si>
  <si>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</si>
  <si>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</si>
  <si>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</si>
  <si>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</si>
  <si>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</si>
  <si>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</si>
  <si>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</si>
  <si>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</si>
  <si>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</si>
  <si>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</si>
  <si>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</si>
  <si>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</si>
  <si>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</si>
  <si>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</si>
  <si>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</si>
  <si>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</si>
  <si>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</si>
  <si>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</si>
  <si>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</si>
  <si>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</si>
  <si>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</si>
  <si>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</si>
  <si>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</si>
  <si>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</si>
  <si>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</si>
  <si>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</si>
  <si>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</si>
  <si>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</si>
  <si>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</si>
  <si>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</si>
  <si>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</si>
  <si>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</si>
  <si>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</si>
  <si>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</si>
  <si>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</si>
  <si>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</si>
  <si>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</si>
  <si>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</si>
  <si>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</si>
  <si>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</si>
  <si>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</si>
  <si>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</si>
  <si>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</si>
  <si>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</si>
  <si>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</si>
  <si>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</si>
  <si>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</si>
  <si>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</si>
  <si>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</si>
  <si>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</si>
  <si>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</si>
  <si>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</si>
  <si>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</si>
  <si>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</si>
  <si>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</si>
  <si>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</si>
  <si>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</si>
  <si>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</si>
  <si>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</si>
  <si>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</si>
  <si>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</si>
  <si>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</si>
  <si>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</si>
  <si>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</si>
  <si>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</si>
  <si>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</si>
  <si>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</si>
  <si>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</si>
  <si>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</si>
  <si>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</si>
  <si>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</si>
  <si>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</si>
  <si>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</si>
  <si>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</si>
  <si>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</si>
  <si>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</si>
  <si>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</si>
  <si>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</si>
  <si>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</si>
  <si>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</si>
  <si>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</si>
  <si>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</si>
  <si>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</si>
  <si>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</si>
  <si>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</si>
  <si>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</si>
  <si>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</si>
  <si>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</si>
  <si>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</si>
  <si>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</si>
  <si>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</si>
  <si>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</si>
  <si>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</si>
  <si>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</si>
  <si>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</si>
  <si>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</si>
  <si>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</si>
  <si>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</si>
  <si>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</si>
  <si>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</si>
  <si>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</si>
  <si>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</si>
  <si>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</si>
  <si>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</si>
  <si>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</si>
  <si>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</si>
  <si>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</si>
  <si>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</si>
  <si>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</si>
  <si>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</si>
  <si>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</si>
  <si>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</si>
  <si>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</si>
  <si>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</si>
  <si>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</si>
  <si>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</si>
  <si>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</si>
  <si>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</si>
  <si>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</si>
  <si>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</si>
  <si>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</si>
  <si>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</si>
  <si>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</si>
  <si>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</si>
  <si>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</si>
  <si>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</si>
  <si>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</si>
  <si>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</si>
  <si>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</si>
  <si>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</si>
  <si>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</si>
  <si>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</si>
  <si>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</si>
  <si>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</si>
  <si>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</si>
  <si>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</si>
  <si>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</si>
  <si>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</si>
  <si>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</si>
  <si>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</si>
  <si>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</si>
  <si>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</si>
  <si>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</si>
  <si>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</si>
  <si>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</si>
  <si>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</si>
  <si>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</si>
  <si>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</si>
  <si>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</si>
  <si>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</si>
  <si>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</si>
  <si>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</si>
  <si>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</si>
  <si>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</si>
  <si>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</si>
  <si>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</si>
  <si>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</si>
  <si>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</si>
  <si>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</si>
  <si>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</si>
  <si>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</si>
  <si>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</si>
  <si>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</si>
  <si>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</si>
  <si>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</si>
  <si>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</si>
  <si>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</si>
  <si>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</si>
  <si>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</si>
  <si>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</si>
  <si>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</si>
  <si>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</si>
  <si>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</si>
  <si>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</si>
  <si>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</si>
  <si>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</si>
  <si>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</si>
  <si>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</si>
  <si>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</si>
  <si>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</si>
  <si>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</si>
  <si>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</si>
  <si>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</si>
  <si>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</si>
  <si>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</si>
  <si>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</si>
  <si>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</si>
  <si>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</si>
  <si>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</si>
  <si>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</si>
  <si>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</si>
  <si>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</si>
  <si>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</si>
  <si>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</si>
  <si>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</si>
  <si>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</si>
  <si>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</si>
  <si>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</si>
  <si>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</si>
  <si>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</si>
  <si>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</si>
  <si>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</si>
  <si>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</si>
  <si>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</si>
  <si>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</si>
  <si>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</si>
  <si>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</si>
  <si>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</si>
  <si>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</si>
  <si>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</si>
  <si>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</si>
  <si>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</si>
  <si>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</si>
  <si>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</si>
  <si>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</si>
  <si>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</si>
  <si>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</si>
  <si>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</si>
  <si>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</si>
  <si>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</si>
  <si>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</si>
  <si>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</si>
  <si>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</si>
  <si>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</si>
  <si>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</si>
  <si>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</si>
  <si>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</si>
  <si>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</si>
  <si>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</si>
  <si>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</si>
  <si>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</si>
  <si>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</si>
  <si>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</si>
  <si>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</si>
  <si>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</si>
  <si>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</si>
  <si>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</si>
  <si>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</si>
  <si>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</si>
  <si>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</si>
  <si>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</si>
  <si>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</si>
  <si>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</si>
  <si>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</si>
  <si>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</si>
  <si>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</si>
  <si>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</si>
  <si>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</si>
  <si>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</si>
  <si>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</si>
  <si>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</si>
  <si>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</si>
  <si>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</si>
  <si>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</si>
  <si>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</si>
  <si>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</si>
  <si>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</si>
  <si>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</si>
  <si>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</si>
  <si>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</si>
  <si>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</si>
  <si>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</si>
  <si>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</si>
  <si>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</si>
  <si>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</si>
  <si>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</si>
  <si>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</si>
  <si>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</si>
  <si>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</si>
  <si>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</si>
  <si>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</si>
  <si>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</si>
  <si>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</si>
  <si>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</si>
  <si>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</si>
  <si>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</si>
  <si>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</si>
  <si>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</si>
  <si>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</si>
  <si>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</si>
  <si>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</si>
  <si>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</si>
  <si>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</si>
  <si>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</si>
  <si>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</si>
  <si>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</si>
  <si>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</si>
  <si>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</si>
  <si>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</si>
  <si>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</si>
  <si>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</si>
  <si>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</si>
  <si>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</si>
  <si>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</si>
  <si>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</si>
  <si>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</si>
  <si>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</si>
  <si>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</si>
  <si>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</si>
  <si>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</si>
  <si>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</si>
  <si>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</si>
  <si>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</si>
  <si>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</si>
  <si>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</si>
  <si>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</si>
  <si>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</si>
  <si>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</si>
  <si>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</si>
  <si>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</si>
  <si>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</si>
  <si>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</si>
  <si>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</si>
  <si>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</si>
  <si>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</si>
  <si>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</si>
  <si>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</si>
  <si>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</si>
  <si>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</si>
  <si>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</si>
  <si>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</si>
  <si>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</si>
  <si>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</si>
  <si>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</si>
  <si>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</si>
  <si>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</si>
  <si>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</si>
  <si>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</si>
  <si>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</si>
  <si>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</si>
  <si>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</si>
  <si>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</si>
  <si>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</si>
  <si>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</si>
  <si>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</si>
  <si>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</si>
  <si>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</si>
  <si>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</si>
  <si>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</si>
  <si>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</si>
  <si>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</si>
  <si>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</si>
  <si>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</si>
  <si>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</si>
  <si>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</si>
  <si>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</si>
  <si>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</si>
  <si>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</si>
  <si>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</si>
  <si>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</si>
  <si>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</si>
  <si>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</si>
  <si>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</si>
  <si>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</si>
  <si>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</si>
  <si>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</si>
  <si>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</si>
  <si>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</si>
  <si>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</si>
  <si>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</si>
  <si>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</si>
  <si>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</si>
  <si>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</si>
  <si>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</si>
  <si>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</si>
  <si>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</si>
  <si>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</si>
  <si>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</si>
  <si>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</si>
  <si>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</si>
  <si>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</si>
  <si>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</si>
  <si>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</si>
  <si>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</si>
  <si>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</si>
  <si>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</si>
  <si>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</si>
  <si>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</si>
  <si>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</si>
  <si>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</si>
  <si>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</si>
  <si>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</si>
  <si>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</si>
  <si>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</si>
  <si>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</si>
  <si>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</si>
  <si>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</si>
  <si>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</si>
  <si>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</si>
  <si>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</si>
  <si>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</si>
  <si>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</si>
  <si>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</si>
  <si>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</si>
  <si>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</si>
  <si>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</si>
  <si>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</si>
  <si>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</si>
  <si>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</si>
  <si>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</si>
  <si>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</si>
  <si>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</si>
  <si>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</si>
  <si>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</si>
  <si>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</si>
  <si>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</si>
  <si>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</si>
  <si>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</si>
  <si>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</si>
  <si>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</si>
  <si>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</si>
  <si>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</si>
  <si>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</si>
  <si>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</si>
  <si>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</si>
  <si>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</si>
  <si>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</si>
  <si>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</si>
  <si>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</si>
  <si>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</si>
  <si>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</si>
  <si>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</si>
  <si>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</si>
  <si>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</si>
  <si>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</si>
  <si>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</si>
  <si>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</si>
  <si>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</si>
  <si>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</si>
  <si>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</si>
  <si>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</si>
  <si>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</si>
  <si>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</si>
  <si>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</si>
  <si>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</si>
  <si>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</si>
  <si>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</si>
  <si>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</si>
  <si>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</si>
  <si>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</si>
  <si>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</si>
  <si>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</si>
  <si>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</si>
  <si>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</si>
  <si>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</si>
  <si>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</si>
  <si>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</si>
  <si>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</si>
  <si>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</si>
  <si>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</si>
  <si>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</si>
  <si>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</si>
  <si>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</si>
  <si>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</si>
  <si>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</si>
  <si>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</si>
  <si>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</si>
  <si>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</si>
  <si>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</si>
  <si>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</si>
  <si>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</si>
  <si>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</si>
  <si>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</si>
  <si>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</si>
  <si>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</si>
  <si>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</si>
  <si>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</si>
  <si>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</si>
  <si>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</si>
  <si>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</si>
  <si>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</si>
  <si>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</si>
  <si>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</si>
  <si>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</si>
  <si>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</si>
  <si>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</si>
  <si>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</si>
  <si>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</si>
  <si>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</si>
  <si>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</si>
  <si>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</si>
  <si>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</si>
  <si>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</si>
  <si>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</si>
  <si>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</si>
  <si>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</si>
  <si>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</si>
  <si>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</si>
  <si>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</si>
  <si>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</si>
  <si>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</si>
  <si>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</si>
  <si>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</si>
  <si>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</si>
  <si>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</si>
  <si>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</si>
  <si>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</si>
  <si>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</si>
  <si>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</si>
  <si>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</si>
  <si>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</si>
  <si>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</si>
  <si>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</si>
  <si>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</si>
  <si>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</si>
  <si>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</si>
  <si>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</si>
  <si>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</si>
  <si>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</si>
  <si>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</si>
  <si>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</si>
  <si>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</si>
  <si>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</si>
  <si>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</si>
  <si>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</si>
  <si>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</si>
  <si>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</si>
  <si>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</si>
  <si>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</si>
  <si>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</si>
  <si>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</si>
  <si>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</si>
  <si>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</si>
  <si>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</si>
  <si>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</si>
  <si>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</si>
  <si>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</si>
  <si>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</si>
  <si>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</si>
  <si>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</si>
  <si>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</si>
  <si>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</si>
  <si>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</si>
  <si>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</si>
  <si>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</si>
  <si>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</si>
  <si>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</si>
  <si>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</si>
  <si>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</si>
  <si>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</si>
  <si>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</si>
  <si>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</si>
  <si>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</si>
  <si>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</si>
  <si>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</si>
  <si>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</si>
  <si>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</si>
  <si>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</si>
  <si>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</si>
  <si>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</si>
  <si>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</si>
  <si>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</si>
  <si>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</si>
  <si>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</si>
  <si>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</si>
  <si>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</si>
  <si>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</si>
  <si>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</si>
  <si>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</si>
  <si>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</si>
  <si>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</si>
  <si>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</si>
  <si>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</si>
  <si>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</si>
  <si>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</si>
  <si>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</si>
  <si>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</si>
  <si>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</si>
  <si>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</si>
  <si>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</si>
  <si>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</si>
  <si>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</si>
  <si>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</si>
  <si>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</si>
  <si>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</si>
  <si>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</si>
  <si>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</si>
  <si>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</si>
  <si>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</si>
  <si>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</si>
  <si>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</si>
  <si>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</si>
  <si>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</si>
  <si>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</si>
  <si>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</si>
  <si>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</si>
  <si>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</si>
  <si>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</si>
  <si>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</si>
  <si>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</si>
  <si>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</si>
  <si>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</si>
  <si>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</si>
  <si>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</si>
  <si>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</si>
  <si>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</si>
  <si>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</si>
  <si>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</si>
  <si>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</si>
  <si>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</si>
  <si>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</si>
  <si>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</si>
  <si>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</si>
  <si>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</si>
  <si>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</si>
  <si>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</si>
  <si>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</si>
  <si>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</si>
  <si>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</si>
  <si>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</si>
  <si>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</si>
  <si>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</si>
  <si>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</si>
  <si>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</si>
  <si>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</si>
  <si>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</si>
  <si>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</si>
  <si>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</si>
  <si>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</si>
  <si>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</si>
  <si>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</si>
  <si>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</si>
  <si>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</si>
  <si>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</si>
  <si>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</si>
  <si>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</si>
  <si>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</si>
  <si>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</si>
  <si>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</si>
  <si>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</si>
  <si>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</si>
  <si>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</si>
  <si>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</si>
  <si>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</si>
  <si>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</si>
  <si>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</si>
  <si>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</si>
  <si>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</si>
  <si>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</si>
  <si>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</si>
  <si>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</si>
  <si>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</si>
  <si>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</si>
  <si>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</si>
  <si>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</si>
  <si>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</si>
  <si>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</si>
  <si>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</si>
  <si>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</si>
  <si>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</si>
  <si>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</si>
  <si>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</si>
  <si>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</si>
  <si>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</si>
  <si>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</si>
  <si>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</si>
  <si>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</si>
  <si>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</si>
  <si>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</si>
  <si>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</si>
  <si>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</si>
  <si>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</si>
  <si>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</si>
  <si>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</si>
  <si>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</si>
  <si>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</si>
  <si>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</si>
  <si>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</si>
  <si>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</si>
  <si>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</si>
  <si>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</si>
  <si>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</si>
  <si>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</si>
  <si>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</si>
  <si>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</si>
  <si>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</si>
  <si>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</si>
  <si>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</si>
  <si>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</si>
  <si>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</si>
  <si>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</si>
  <si>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</si>
  <si>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</si>
  <si>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</si>
  <si>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</si>
  <si>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</si>
  <si>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</si>
  <si>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</si>
  <si>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</si>
  <si>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</si>
  <si>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</si>
  <si>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</si>
  <si>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</si>
  <si>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</si>
  <si>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</si>
  <si>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</si>
  <si>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</si>
  <si>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</si>
  <si>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</si>
  <si>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</si>
  <si>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</si>
  <si>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</si>
  <si>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</si>
  <si>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</si>
  <si>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</si>
  <si>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</si>
  <si>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</si>
  <si>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</si>
  <si>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</si>
  <si>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</si>
  <si>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</si>
  <si>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</si>
  <si>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</si>
  <si>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</si>
  <si>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</si>
  <si>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</si>
  <si>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</si>
  <si>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</si>
  <si>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</si>
  <si>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</si>
  <si>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</si>
  <si>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</si>
  <si>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</si>
  <si>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</si>
  <si>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</si>
  <si>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</si>
  <si>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</si>
  <si>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</si>
  <si>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</si>
  <si>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</si>
  <si>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</si>
  <si>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</si>
  <si>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</si>
  <si>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</si>
  <si>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</si>
  <si>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</si>
  <si>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</si>
  <si>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</si>
  <si>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</si>
  <si>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</si>
  <si>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</si>
  <si>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</si>
  <si>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</si>
  <si>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</si>
  <si>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</si>
  <si>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</si>
  <si>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</si>
  <si>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</si>
  <si>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</si>
  <si>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</si>
  <si>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</si>
  <si>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</si>
  <si>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</si>
  <si>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</si>
  <si>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</si>
  <si>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</si>
  <si>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</si>
  <si>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</si>
  <si>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</si>
  <si>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</si>
  <si>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</si>
  <si>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</si>
  <si>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</si>
  <si>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</si>
  <si>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</si>
  <si>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</si>
  <si>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</si>
  <si>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</si>
  <si>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</si>
  <si>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</si>
  <si>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</si>
  <si>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</si>
  <si>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</si>
  <si>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</si>
  <si>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</si>
  <si>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</si>
  <si>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</si>
  <si>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</si>
  <si>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</si>
  <si>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</si>
  <si>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</si>
  <si>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</si>
  <si>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</si>
  <si>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</si>
  <si>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</si>
  <si>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</si>
  <si>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</si>
  <si>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</si>
  <si>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</si>
  <si>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</si>
  <si>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</si>
  <si>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</si>
  <si>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</si>
  <si>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</si>
  <si>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</si>
  <si>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</si>
  <si>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</si>
  <si>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</si>
  <si>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</si>
  <si>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</si>
  <si>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</si>
  <si>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</si>
  <si>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</si>
  <si>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</si>
  <si>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</si>
  <si>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</si>
  <si>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</si>
  <si>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</si>
  <si>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</si>
  <si>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</si>
  <si>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</si>
  <si>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</si>
  <si>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</si>
  <si>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</si>
  <si>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</si>
  <si>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</si>
  <si>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</si>
  <si>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</si>
  <si>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</si>
  <si>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</si>
  <si>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</si>
  <si>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</si>
  <si>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</si>
  <si>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</si>
  <si>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</si>
  <si>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</si>
  <si>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</si>
  <si>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</si>
  <si>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</si>
  <si>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</si>
  <si>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</si>
  <si>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</si>
  <si>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</si>
  <si>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</si>
  <si>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</si>
  <si>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</si>
  <si>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</si>
  <si>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</si>
  <si>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</si>
  <si>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</si>
  <si>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</si>
  <si>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</si>
  <si>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</si>
  <si>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</si>
  <si>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</si>
  <si>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</si>
  <si>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</si>
  <si>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</si>
  <si>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</si>
  <si>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</si>
  <si>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</si>
  <si>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</si>
  <si>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</si>
  <si>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</si>
  <si>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</si>
  <si>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</si>
  <si>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</si>
  <si>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</si>
  <si>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</si>
  <si>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</si>
  <si>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</si>
  <si>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</si>
  <si>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</si>
  <si>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</si>
  <si>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</si>
  <si>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</si>
  <si>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</si>
  <si>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</si>
  <si>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</si>
  <si>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</si>
  <si>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</si>
  <si>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</si>
  <si>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</si>
  <si>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</si>
  <si>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</si>
  <si>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</si>
  <si>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</si>
  <si>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</si>
  <si>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</si>
  <si>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</si>
  <si>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</si>
  <si>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</si>
  <si>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</si>
  <si>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</si>
  <si>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</si>
  <si>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</si>
  <si>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</si>
  <si>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</si>
  <si>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</si>
  <si>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</si>
  <si>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</si>
  <si>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</si>
  <si>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</si>
  <si>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</si>
  <si>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</si>
  <si>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</si>
  <si>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</si>
  <si>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</si>
  <si>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</si>
  <si>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</si>
  <si>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</si>
  <si>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</si>
  <si>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</si>
  <si>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</si>
  <si>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</si>
  <si>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</si>
  <si>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</si>
  <si>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</si>
  <si>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</si>
  <si>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</si>
  <si>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</si>
  <si>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</si>
  <si>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</si>
  <si>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</si>
  <si>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</si>
  <si>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</si>
  <si>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</si>
  <si>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</si>
  <si>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</si>
  <si>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</si>
  <si>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</si>
  <si>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</si>
  <si>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</si>
  <si>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</si>
  <si>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</si>
  <si>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</si>
  <si>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</si>
  <si>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</si>
  <si>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</si>
  <si>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</si>
  <si>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</si>
  <si>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</si>
  <si>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</si>
  <si>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</si>
  <si>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</si>
  <si>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</si>
  <si>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</si>
  <si>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</si>
  <si>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</si>
  <si>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</si>
  <si>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</si>
  <si>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</si>
  <si>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</si>
  <si>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</si>
  <si>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</si>
  <si>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</si>
  <si>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</si>
  <si>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</si>
  <si>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</si>
  <si>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</si>
  <si>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</si>
  <si>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</si>
  <si>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</si>
  <si>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</si>
  <si>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</si>
  <si>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</si>
  <si>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</si>
  <si>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</si>
  <si>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</si>
  <si>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</si>
  <si>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</si>
  <si>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</si>
  <si>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</si>
  <si>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</si>
  <si>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</si>
  <si>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</si>
  <si>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</si>
  <si>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</si>
  <si>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</si>
  <si>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</si>
  <si>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</si>
  <si>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</si>
  <si>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</si>
  <si>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</si>
  <si>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</si>
  <si>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</si>
  <si>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</si>
  <si>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</si>
  <si>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</si>
  <si>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</si>
  <si>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</si>
  <si>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</si>
  <si>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</si>
  <si>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</si>
  <si>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</si>
  <si>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</si>
  <si>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</si>
  <si>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</si>
  <si>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</si>
  <si>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</si>
  <si>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</si>
  <si>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</si>
  <si>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</si>
  <si>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</si>
  <si>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</si>
  <si>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</si>
  <si>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</si>
  <si>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</si>
  <si>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</si>
  <si>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</si>
  <si>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</si>
  <si>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</si>
  <si>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</si>
  <si>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</si>
  <si>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</si>
  <si>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</si>
  <si>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</si>
  <si>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</si>
  <si>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</si>
  <si>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</si>
  <si>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</si>
  <si>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</si>
  <si>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</si>
  <si>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</si>
  <si>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</si>
  <si>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</si>
  <si>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</si>
  <si>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</si>
  <si>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</si>
  <si>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</si>
  <si>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</si>
  <si>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</si>
  <si>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</si>
  <si>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</si>
  <si>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</si>
  <si>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</si>
  <si>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</si>
  <si>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</si>
  <si>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</si>
  <si>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</si>
  <si>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</si>
  <si>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</si>
  <si>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</si>
  <si>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</si>
  <si>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</si>
  <si>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</si>
  <si>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</si>
  <si>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</si>
  <si>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</si>
  <si>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</si>
  <si>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</si>
  <si>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</si>
  <si>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</si>
  <si>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</si>
  <si>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</si>
  <si>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</si>
  <si>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</si>
  <si>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</si>
  <si>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</si>
  <si>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</si>
  <si>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</si>
  <si>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</si>
  <si>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</si>
  <si>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</si>
  <si>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</si>
  <si>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</si>
  <si>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</si>
  <si>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</si>
  <si>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</si>
  <si>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</si>
  <si>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</si>
  <si>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</si>
  <si>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</si>
  <si>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</si>
  <si>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</si>
  <si>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</si>
  <si>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</si>
  <si>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</si>
  <si>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</si>
  <si>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</si>
  <si>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</si>
  <si>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</si>
  <si>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</si>
  <si>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</si>
  <si>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</si>
  <si>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</si>
  <si>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</si>
  <si>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</si>
  <si>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</si>
  <si>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</si>
  <si>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</si>
  <si>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</si>
  <si>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</si>
  <si>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</si>
  <si>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</si>
  <si>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</si>
  <si>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</si>
  <si>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</si>
  <si>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</si>
  <si>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</si>
  <si>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</si>
  <si>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</si>
  <si>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</si>
  <si>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</si>
  <si>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</si>
  <si>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</si>
  <si>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</si>
  <si>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</si>
  <si>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</si>
  <si>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</si>
  <si>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</si>
  <si>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</si>
  <si>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</si>
  <si>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</si>
  <si>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</si>
  <si>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</si>
  <si>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</si>
  <si>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</si>
  <si>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</si>
  <si>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</si>
  <si>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</si>
  <si>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</si>
  <si>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</si>
  <si>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</si>
  <si>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</si>
  <si>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</si>
  <si>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</si>
  <si>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</si>
  <si>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</si>
  <si>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</si>
  <si>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</si>
  <si>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</si>
  <si>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</si>
  <si>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</si>
  <si>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</si>
  <si>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</si>
  <si>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</si>
  <si>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</si>
  <si>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</si>
  <si>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</si>
  <si>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</si>
  <si>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</si>
  <si>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</si>
  <si>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</si>
  <si>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</si>
  <si>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</si>
  <si>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</si>
  <si>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</si>
  <si>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</si>
  <si>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</si>
  <si>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</si>
  <si>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</si>
  <si>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</si>
  <si>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</si>
  <si>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</si>
  <si>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</si>
  <si>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</si>
  <si>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</si>
  <si>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</si>
  <si>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</si>
  <si>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</si>
  <si>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</si>
  <si>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</si>
  <si>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</si>
  <si>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</si>
  <si>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</si>
  <si>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</si>
  <si>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</si>
  <si>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</si>
  <si>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</si>
  <si>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</si>
  <si>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</si>
  <si>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</si>
  <si>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</si>
  <si>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</si>
  <si>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</si>
  <si>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</si>
  <si>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</si>
  <si>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</si>
  <si>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</si>
  <si>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</si>
  <si>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</si>
  <si>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</si>
  <si>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</si>
  <si>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</si>
  <si>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</si>
  <si>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</si>
  <si>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</si>
  <si>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</si>
  <si>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</si>
  <si>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</si>
  <si>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</si>
  <si>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</si>
  <si>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</si>
  <si>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</si>
  <si>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</si>
  <si>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</si>
  <si>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</si>
  <si>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</si>
  <si>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</si>
  <si>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</si>
  <si>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</si>
  <si>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</si>
  <si>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</si>
  <si>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</si>
  <si>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</si>
  <si>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</si>
  <si>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</si>
  <si>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</si>
  <si>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</si>
  <si>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</si>
  <si>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</si>
  <si>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</si>
  <si>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</si>
  <si>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</si>
  <si>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</si>
  <si>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</si>
  <si>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</si>
  <si>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</si>
  <si>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</si>
  <si>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</si>
  <si>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</si>
  <si>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</si>
  <si>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</si>
  <si>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</si>
  <si>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</si>
  <si>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</si>
  <si>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</si>
  <si>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</si>
  <si>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</si>
  <si>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</si>
  <si>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</si>
  <si>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</si>
  <si>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</si>
  <si>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</si>
  <si>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</si>
  <si>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</si>
  <si>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</si>
  <si>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</si>
  <si>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</si>
  <si>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</si>
  <si>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</si>
  <si>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</si>
  <si>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</si>
  <si>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</si>
  <si>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</si>
  <si>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</si>
  <si>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</si>
  <si>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</si>
  <si>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</si>
  <si>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</si>
  <si>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</si>
  <si>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</si>
  <si>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</si>
  <si>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</si>
  <si>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</si>
  <si>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</si>
  <si>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</si>
  <si>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</si>
  <si>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</si>
  <si>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</si>
  <si>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</si>
  <si>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</si>
  <si>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</si>
  <si>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</si>
  <si>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</si>
  <si>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</si>
  <si>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</si>
  <si>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</si>
  <si>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</si>
  <si>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</si>
  <si>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</si>
  <si>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</si>
  <si>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</si>
  <si>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</si>
  <si>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</si>
  <si>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</si>
  <si>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</si>
  <si>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</si>
  <si>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</si>
  <si>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</si>
  <si>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</si>
  <si>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</si>
  <si>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</si>
  <si>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</si>
  <si>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</si>
  <si>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</si>
  <si>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</si>
  <si>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</si>
  <si>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</si>
  <si>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</si>
  <si>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</si>
  <si>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</si>
  <si>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</si>
  <si>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</si>
  <si>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</si>
  <si>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</si>
  <si>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</si>
  <si>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</si>
  <si>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</si>
  <si>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</si>
  <si>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</si>
  <si>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</si>
  <si>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</si>
  <si>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</si>
  <si>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</si>
  <si>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</si>
  <si>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</si>
  <si>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</si>
  <si>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</si>
  <si>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</si>
  <si>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</si>
  <si>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</si>
  <si>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</si>
  <si>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</si>
  <si>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</si>
  <si>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</si>
  <si>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</si>
  <si>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</si>
  <si>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</si>
  <si>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</si>
  <si>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</si>
  <si>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</si>
  <si>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</si>
  <si>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</si>
  <si>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</si>
  <si>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</si>
  <si>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</si>
  <si>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</si>
  <si>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</si>
  <si>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</si>
  <si>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</si>
  <si>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</si>
  <si>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</si>
  <si>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</si>
  <si>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</si>
  <si>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</si>
  <si>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</si>
  <si>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</si>
  <si>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</si>
  <si>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</si>
  <si>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</si>
  <si>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</si>
  <si>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</si>
  <si>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</si>
  <si>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</si>
  <si>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</si>
  <si>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</si>
  <si>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</si>
  <si>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</si>
  <si>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</si>
  <si>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</si>
  <si>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</si>
  <si>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</si>
  <si>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</si>
  <si>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</si>
  <si>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</si>
  <si>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</si>
  <si>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</si>
  <si>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</si>
  <si>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</si>
  <si>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</si>
  <si>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</si>
  <si>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</si>
  <si>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</si>
  <si>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</si>
  <si>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</si>
  <si>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</si>
  <si>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</si>
  <si>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</si>
  <si>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</si>
  <si>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</si>
  <si>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</si>
  <si>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</si>
  <si>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</si>
  <si>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</si>
  <si>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</si>
  <si>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</si>
  <si>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</si>
  <si>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</si>
  <si>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</si>
  <si>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</si>
  <si>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</si>
  <si>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</si>
  <si>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</si>
  <si>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</si>
  <si>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</si>
  <si>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</si>
  <si>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</si>
  <si>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</si>
  <si>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</si>
  <si>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</si>
  <si>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</si>
  <si>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</si>
  <si>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</si>
  <si>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</si>
  <si>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</si>
  <si>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</si>
  <si>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</si>
  <si>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</si>
  <si>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</si>
  <si>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</si>
  <si>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</si>
  <si>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</si>
  <si>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</si>
  <si>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</si>
  <si>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</si>
  <si>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</si>
  <si>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</si>
  <si>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</si>
  <si>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</si>
  <si>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</si>
  <si>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</si>
  <si>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</si>
  <si>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</si>
  <si>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</si>
  <si>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</si>
  <si>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</si>
  <si>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</si>
  <si>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</si>
  <si>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</si>
  <si>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</si>
  <si>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</si>
  <si>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</si>
  <si>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</si>
  <si>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</si>
  <si>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</si>
  <si>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</si>
  <si>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</si>
  <si>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</si>
  <si>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</si>
  <si>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</si>
  <si>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</si>
  <si>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</si>
  <si>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</si>
  <si>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</si>
  <si>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</si>
  <si>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</si>
  <si>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</si>
  <si>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</si>
  <si>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</si>
  <si>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</si>
  <si>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</si>
  <si>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</si>
  <si>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</si>
  <si>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</si>
  <si>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</si>
  <si>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</si>
  <si>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</si>
  <si>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</si>
  <si>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</si>
  <si>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</si>
  <si>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</si>
  <si>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</si>
  <si>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</si>
  <si>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</si>
  <si>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</si>
  <si>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</si>
  <si>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</si>
  <si>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</si>
  <si>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</si>
  <si>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</si>
  <si>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</si>
  <si>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</si>
  <si>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</si>
  <si>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</si>
  <si>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</si>
  <si>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</si>
  <si>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</si>
  <si>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</si>
  <si>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</si>
  <si>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</si>
  <si>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</si>
  <si>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</si>
  <si>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</si>
  <si>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</si>
  <si>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</si>
  <si>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</si>
  <si>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</si>
  <si>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</si>
  <si>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</si>
  <si>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</si>
  <si>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</si>
  <si>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</si>
  <si>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</si>
  <si>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</si>
  <si>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</si>
  <si>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</si>
  <si>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</si>
  <si>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</si>
  <si>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</si>
  <si>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</si>
  <si>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</si>
  <si>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</si>
  <si>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</si>
  <si>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</si>
  <si>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</si>
  <si>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</si>
  <si>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</si>
  <si>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</si>
  <si>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</si>
  <si>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</si>
  <si>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</si>
  <si>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</si>
  <si>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</si>
  <si>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</si>
  <si>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</si>
  <si>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</si>
  <si>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</si>
  <si>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</si>
  <si>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</si>
  <si>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</si>
  <si>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</si>
  <si>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</si>
  <si>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</si>
  <si>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</si>
  <si>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</si>
  <si>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</si>
  <si>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</si>
  <si>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</si>
  <si>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</si>
  <si>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</si>
  <si>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</si>
  <si>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</si>
  <si>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</si>
  <si>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</si>
  <si>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</si>
  <si>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</si>
  <si>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</si>
  <si>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</si>
  <si>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</si>
  <si>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</si>
  <si>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</si>
  <si>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</si>
  <si>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</si>
  <si>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</si>
  <si>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</si>
  <si>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</si>
  <si>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</si>
  <si>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</si>
  <si>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</si>
  <si>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</si>
  <si>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</si>
  <si>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</si>
  <si>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</si>
  <si>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</si>
  <si>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</si>
  <si>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</si>
  <si>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</si>
  <si>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</si>
  <si>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</si>
  <si>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</si>
  <si>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</si>
  <si>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</si>
  <si>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</si>
  <si>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</si>
  <si>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</si>
  <si>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</si>
  <si>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</si>
  <si>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</si>
  <si>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</si>
  <si>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</si>
  <si>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</si>
  <si>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</si>
  <si>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</si>
  <si>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</si>
  <si>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</si>
  <si>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</si>
  <si>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</si>
  <si>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</si>
  <si>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</si>
  <si>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</si>
  <si>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</si>
  <si>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</si>
  <si>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</si>
  <si>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</si>
  <si>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</si>
  <si>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</si>
  <si>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</si>
  <si>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</si>
  <si>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</si>
  <si>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</si>
  <si>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</si>
  <si>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</si>
  <si>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</si>
  <si>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</si>
  <si>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</si>
  <si>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</si>
  <si>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</si>
  <si>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</si>
  <si>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</si>
  <si>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</si>
  <si>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</si>
  <si>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</si>
  <si>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</si>
  <si>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</si>
  <si>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</si>
  <si>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</si>
  <si>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</si>
  <si>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</si>
  <si>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</si>
  <si>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</si>
  <si>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</si>
  <si>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</si>
  <si>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</si>
  <si>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</si>
  <si>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</si>
  <si>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</si>
  <si>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</si>
  <si>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</si>
  <si>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</si>
  <si>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</si>
  <si>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</si>
  <si>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</si>
  <si>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</si>
  <si>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</si>
  <si>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</si>
  <si>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</si>
  <si>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</si>
  <si>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</si>
  <si>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</si>
  <si>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</si>
  <si>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</si>
  <si>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</si>
  <si>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</si>
  <si>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</si>
  <si>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</si>
  <si>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</si>
  <si>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</si>
  <si>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</si>
  <si>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</si>
  <si>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</si>
  <si>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</si>
  <si>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</si>
  <si>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</si>
  <si>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</si>
  <si>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</si>
  <si>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</si>
  <si>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</si>
  <si>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</si>
  <si>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</si>
  <si>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</si>
  <si>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</si>
  <si>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</si>
  <si>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</si>
  <si>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</si>
  <si>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</si>
  <si>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</si>
  <si>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</si>
  <si>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</si>
  <si>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</si>
  <si>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</si>
  <si>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</si>
  <si>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</si>
  <si>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</si>
  <si>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</si>
  <si>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</si>
  <si>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</si>
  <si>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</si>
  <si>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</si>
  <si>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</si>
  <si>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</si>
  <si>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</si>
  <si>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</si>
  <si>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</si>
  <si>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</si>
  <si>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</si>
  <si>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</si>
  <si>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</si>
  <si>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</si>
  <si>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</si>
  <si>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</si>
  <si>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</si>
  <si>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</si>
  <si>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</si>
  <si>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</si>
  <si>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</si>
  <si>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</si>
  <si>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</si>
  <si>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</si>
  <si>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</si>
  <si>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</si>
  <si>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</si>
  <si>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</si>
  <si>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</si>
  <si>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</si>
  <si>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</si>
  <si>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</si>
  <si>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</si>
  <si>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</si>
  <si>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</si>
  <si>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</si>
  <si>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</si>
  <si>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</si>
  <si>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</si>
  <si>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</si>
  <si>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</si>
  <si>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</si>
  <si>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</si>
  <si>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</si>
  <si>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</si>
  <si>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</si>
  <si>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</si>
  <si>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</si>
  <si>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</si>
  <si>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</si>
  <si>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</si>
  <si>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</si>
  <si>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</si>
  <si>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</si>
  <si>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</si>
  <si>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</si>
  <si>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</si>
  <si>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</si>
  <si>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</si>
  <si>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</si>
  <si>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</si>
  <si>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</si>
  <si>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</si>
  <si>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</si>
  <si>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</si>
  <si>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</si>
  <si>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</si>
  <si>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</si>
  <si>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</si>
  <si>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</si>
  <si>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</si>
  <si>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</si>
  <si>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</si>
  <si>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</si>
  <si>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</si>
  <si>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</si>
  <si>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</si>
  <si>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</si>
  <si>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</si>
  <si>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</si>
  <si>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</si>
  <si>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</si>
  <si>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</si>
  <si>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</si>
  <si>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</si>
  <si>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</si>
  <si>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</si>
  <si>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</si>
  <si>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</si>
  <si>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</si>
  <si>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</si>
  <si>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</si>
  <si>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</si>
  <si>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</si>
  <si>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</si>
  <si>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</si>
  <si>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</si>
  <si>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</si>
  <si>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</si>
  <si>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</si>
  <si>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</si>
  <si>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</si>
  <si>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</si>
  <si>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</si>
  <si>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</si>
  <si>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</si>
  <si>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</si>
  <si>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</si>
  <si>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</si>
  <si>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</si>
  <si>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</si>
  <si>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</si>
  <si>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</si>
  <si>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</si>
  <si>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</si>
  <si>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</si>
  <si>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</si>
  <si>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</si>
  <si>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</si>
  <si>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</si>
  <si>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</si>
  <si>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</si>
  <si>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</si>
  <si>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</si>
  <si>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</si>
  <si>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</si>
  <si>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</si>
  <si>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</si>
  <si>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</si>
  <si>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</si>
  <si>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</si>
  <si>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</si>
  <si>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</si>
  <si>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</si>
  <si>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</si>
  <si>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</si>
  <si>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</si>
  <si>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</si>
  <si>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</si>
  <si>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</si>
  <si>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</si>
  <si>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</si>
  <si>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</si>
  <si>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</si>
  <si>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</si>
  <si>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</si>
  <si>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</si>
  <si>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</si>
  <si>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</si>
  <si>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</si>
  <si>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</si>
  <si>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</si>
  <si>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</si>
  <si>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</si>
  <si>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</si>
  <si>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</si>
  <si>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</si>
  <si>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</si>
  <si>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</si>
  <si>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</si>
  <si>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</si>
  <si>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</si>
  <si>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</si>
  <si>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</si>
  <si>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</si>
  <si>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</si>
  <si>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</si>
  <si>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</si>
  <si>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</si>
  <si>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</si>
  <si>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</si>
  <si>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</si>
  <si>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</si>
  <si>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</si>
  <si>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</si>
  <si>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</si>
  <si>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</si>
  <si>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</si>
  <si>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</si>
  <si>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</si>
  <si>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</si>
  <si>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</si>
  <si>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</si>
  <si>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</si>
  <si>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</si>
  <si>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</si>
  <si>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</si>
  <si>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</si>
  <si>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</si>
  <si>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</si>
  <si>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</si>
  <si>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</si>
  <si>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</si>
  <si>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</si>
  <si>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</si>
  <si>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</si>
  <si>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</si>
  <si>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</si>
  <si>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</si>
  <si>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</si>
  <si>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</si>
  <si>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</si>
  <si>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</si>
  <si>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</si>
  <si>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</si>
  <si>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</si>
  <si>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</si>
  <si>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</si>
  <si>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</si>
  <si>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</si>
  <si>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</si>
  <si>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</si>
  <si>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</si>
  <si>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</si>
  <si>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</si>
  <si>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</si>
  <si>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</si>
  <si>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</si>
  <si>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</si>
  <si>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</si>
  <si>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</si>
  <si>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</si>
  <si>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</si>
  <si>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</si>
  <si>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</si>
  <si>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</si>
  <si>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</si>
  <si>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</si>
  <si>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</si>
  <si>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</si>
  <si>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</si>
  <si>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</si>
  <si>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</si>
  <si>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</si>
  <si>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</si>
  <si>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</si>
  <si>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</si>
  <si>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</si>
  <si>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</si>
  <si>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</si>
  <si>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</si>
  <si>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</si>
  <si>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</si>
  <si>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</si>
  <si>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</si>
  <si>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</si>
  <si>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</si>
  <si>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</si>
  <si>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</si>
  <si>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</si>
  <si>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</si>
  <si>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</si>
  <si>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</si>
  <si>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</si>
  <si>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</si>
  <si>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</si>
  <si>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</si>
  <si>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</si>
  <si>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</si>
  <si>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</si>
  <si>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</si>
  <si>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</si>
  <si>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</si>
  <si>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</si>
  <si>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</si>
  <si>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</si>
  <si>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</si>
  <si>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</si>
  <si>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</si>
  <si>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</si>
  <si>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</si>
  <si>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</si>
  <si>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</si>
  <si>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</si>
  <si>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</si>
  <si>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</si>
  <si>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</si>
  <si>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</si>
  <si>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</si>
  <si>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</si>
  <si>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</si>
  <si>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</si>
  <si>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</si>
  <si>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</si>
  <si>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</si>
  <si>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</si>
  <si>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</si>
  <si>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</si>
  <si>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</si>
  <si>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</si>
  <si>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</si>
  <si>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</si>
  <si>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</si>
  <si>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</si>
  <si>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</si>
  <si>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</si>
  <si>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</si>
  <si>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</si>
  <si>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</si>
  <si>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</si>
  <si>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</si>
  <si>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</si>
  <si>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</si>
  <si>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</si>
  <si>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</si>
  <si>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</si>
  <si>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</si>
  <si>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</si>
  <si>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</si>
  <si>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</si>
  <si>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</si>
  <si>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</si>
  <si>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</si>
  <si>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</si>
  <si>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</si>
  <si>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</si>
  <si>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</si>
  <si>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</si>
  <si>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</si>
  <si>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</si>
  <si>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</si>
  <si>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</si>
  <si>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</si>
  <si>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</si>
  <si>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</si>
  <si>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</si>
  <si>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</si>
  <si>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</si>
  <si>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</si>
  <si>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</si>
  <si>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</si>
  <si>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</si>
  <si>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</si>
  <si>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</si>
  <si>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</si>
  <si>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</si>
  <si>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</si>
  <si>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</si>
  <si>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</si>
  <si>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</si>
  <si>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</si>
  <si>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</si>
  <si>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</si>
  <si>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</si>
  <si>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</si>
  <si>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</si>
  <si>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</si>
  <si>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</si>
  <si>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</si>
  <si>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</si>
  <si>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</si>
  <si>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</si>
  <si>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</si>
  <si>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</si>
  <si>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</si>
  <si>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</si>
  <si>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</si>
  <si>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</si>
  <si>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</si>
  <si>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</si>
  <si>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</si>
  <si>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</si>
  <si>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</si>
  <si>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</si>
  <si>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</si>
  <si>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</si>
  <si>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</si>
  <si>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</si>
  <si>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</si>
  <si>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</si>
  <si>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</si>
  <si>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</si>
  <si>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</si>
  <si>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</si>
  <si>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</si>
  <si>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</si>
  <si>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</si>
  <si>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</si>
  <si>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</si>
  <si>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</si>
  <si>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</si>
  <si>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</si>
  <si>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</si>
  <si>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</si>
  <si>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</si>
  <si>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</si>
  <si>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</si>
  <si>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</si>
  <si>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</si>
  <si>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</si>
  <si>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</si>
  <si>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</si>
  <si>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</si>
  <si>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</si>
  <si>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</si>
  <si>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</si>
  <si>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</si>
  <si>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</si>
  <si>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</si>
  <si>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</si>
  <si>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</si>
  <si>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</si>
  <si>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</si>
  <si>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</si>
  <si>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</si>
  <si>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</si>
  <si>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</si>
  <si>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</si>
  <si>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</si>
  <si>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</si>
  <si>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</si>
  <si>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</si>
  <si>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</si>
  <si>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</si>
  <si>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</si>
  <si>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</si>
  <si>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</si>
  <si>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</si>
  <si>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</si>
  <si>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</si>
  <si>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</si>
  <si>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</si>
  <si>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</si>
  <si>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</si>
  <si>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</si>
  <si>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</si>
  <si>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</si>
  <si>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</si>
  <si>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</si>
  <si>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</si>
  <si>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</si>
  <si>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</si>
  <si>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</si>
  <si>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</si>
  <si>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</si>
  <si>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</si>
  <si>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</si>
  <si>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</si>
  <si>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</si>
  <si>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</si>
  <si>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</si>
  <si>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</si>
  <si>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</si>
  <si>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</si>
  <si>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</si>
  <si>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</si>
  <si>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</si>
  <si>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</si>
  <si>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</si>
  <si>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</si>
  <si>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</si>
  <si>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</si>
  <si>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</si>
  <si>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</si>
  <si>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</si>
  <si>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</si>
  <si>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</si>
  <si>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</si>
  <si>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</si>
  <si>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</si>
  <si>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</si>
  <si>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</si>
  <si>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</si>
  <si>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</si>
  <si>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</si>
  <si>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</si>
  <si>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</si>
  <si>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</si>
  <si>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</si>
  <si>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</si>
  <si>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</si>
  <si>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</si>
  <si>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</si>
  <si>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</si>
  <si>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</si>
  <si>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</si>
  <si>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</si>
  <si>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</si>
  <si>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</si>
  <si>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</si>
  <si>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</si>
  <si>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</si>
  <si>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</si>
  <si>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</si>
  <si>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</si>
  <si>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</si>
  <si>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</si>
  <si>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</si>
  <si>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</si>
  <si>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</si>
  <si>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</si>
  <si>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</si>
  <si>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</si>
  <si>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</si>
  <si>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</si>
  <si>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</si>
  <si>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</si>
  <si>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</si>
  <si>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</si>
  <si>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</si>
  <si>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</si>
  <si>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</si>
  <si>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</si>
  <si>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</si>
  <si>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</si>
  <si>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</si>
  <si>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</si>
  <si>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</si>
  <si>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</si>
  <si>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</si>
  <si>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</si>
  <si>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</si>
  <si>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</si>
  <si>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</si>
  <si>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</si>
  <si>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</si>
  <si>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</si>
  <si>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</si>
  <si>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</si>
  <si>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</si>
  <si>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</si>
  <si>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</si>
  <si>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</si>
  <si>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</si>
  <si>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</si>
  <si>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</si>
  <si>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</si>
  <si>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</si>
  <si>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</si>
  <si>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</si>
  <si>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</si>
  <si>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</si>
  <si>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</si>
  <si>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</si>
  <si>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</si>
  <si>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</si>
  <si>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</si>
  <si>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</si>
  <si>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</si>
  <si>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</si>
  <si>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</si>
  <si>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</si>
  <si>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</si>
  <si>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</si>
  <si>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</si>
  <si>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</si>
  <si>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</si>
  <si>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</si>
  <si>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</si>
  <si>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</si>
  <si>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</si>
  <si>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</si>
  <si>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</si>
  <si>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</si>
  <si>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</si>
  <si>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</si>
  <si>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</si>
  <si>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</si>
  <si>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</si>
  <si>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</si>
  <si>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</si>
  <si>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</si>
  <si>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</si>
  <si>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</si>
  <si>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</si>
  <si>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</si>
  <si>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</si>
  <si>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</si>
  <si>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</si>
  <si>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</si>
  <si>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</si>
  <si>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</si>
  <si>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</si>
  <si>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</si>
  <si>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</si>
  <si>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</si>
  <si>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</si>
  <si>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</si>
  <si>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</si>
  <si>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</si>
  <si>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</si>
  <si>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</si>
  <si>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</si>
  <si>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</si>
  <si>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</si>
  <si>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</si>
  <si>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</si>
  <si>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</si>
  <si>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</si>
  <si>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</si>
  <si>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</si>
  <si>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</si>
  <si>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</si>
  <si>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</si>
  <si>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</si>
  <si>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</si>
  <si>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</si>
  <si>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</si>
  <si>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</si>
  <si>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</si>
  <si>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</si>
  <si>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</si>
  <si>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</si>
  <si>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</si>
  <si>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</si>
  <si>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</si>
  <si>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</si>
  <si>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</si>
  <si>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</si>
  <si>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</si>
  <si>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</si>
  <si>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</si>
  <si>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</si>
  <si>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</si>
  <si>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</si>
  <si>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</si>
  <si>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</si>
  <si>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</si>
  <si>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</si>
  <si>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</si>
  <si>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</si>
  <si>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</si>
  <si>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</si>
  <si>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</si>
  <si>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</si>
  <si>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</si>
  <si>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</si>
  <si>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</si>
  <si>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</si>
  <si>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</si>
  <si>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</si>
  <si>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</si>
  <si>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</si>
  <si>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</si>
  <si>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</si>
  <si>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</si>
  <si>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</si>
  <si>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</si>
  <si>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</si>
  <si>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</si>
  <si>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</si>
  <si>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</si>
  <si>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</si>
  <si>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</si>
  <si>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</si>
  <si>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</si>
  <si>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</si>
  <si>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</si>
  <si>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</si>
  <si>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</si>
  <si>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</si>
  <si>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</si>
  <si>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</si>
  <si>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</si>
  <si>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</si>
  <si>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</si>
  <si>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</si>
  <si>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</si>
  <si>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</si>
  <si>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</si>
  <si>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</si>
  <si>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</si>
  <si>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</si>
  <si>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</si>
  <si>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</si>
  <si>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</si>
  <si>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</si>
  <si>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</si>
  <si>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</si>
  <si>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</si>
  <si>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</si>
  <si>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</si>
  <si>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</si>
  <si>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</si>
  <si>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</si>
  <si>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</si>
  <si>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</si>
  <si>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</si>
  <si>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</si>
  <si>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</si>
  <si>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</si>
  <si>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</si>
  <si>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</si>
  <si>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</si>
  <si>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</si>
  <si>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</si>
  <si>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</si>
  <si>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</si>
  <si>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</si>
  <si>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</si>
  <si>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</si>
  <si>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</si>
  <si>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</si>
  <si>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</si>
  <si>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</si>
  <si>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</si>
  <si>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</si>
  <si>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</si>
  <si>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</si>
  <si>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</si>
  <si>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</si>
  <si>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</si>
  <si>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</si>
  <si>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</si>
  <si>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</si>
  <si>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</si>
  <si>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</si>
  <si>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</si>
  <si>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</si>
  <si>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</si>
  <si>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</si>
  <si>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</si>
  <si>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</si>
  <si>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</si>
  <si>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</si>
  <si>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</si>
  <si>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</si>
  <si>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</si>
  <si>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</si>
  <si>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</si>
  <si>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</si>
  <si>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</si>
  <si>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</si>
  <si>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</si>
  <si>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</si>
  <si>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</si>
  <si>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</si>
  <si>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</si>
  <si>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</si>
  <si>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</si>
  <si>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</si>
  <si>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</si>
  <si>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</si>
  <si>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</si>
  <si>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</si>
  <si>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</si>
  <si>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</si>
  <si>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</si>
  <si>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</si>
  <si>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</si>
  <si>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</si>
  <si>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</si>
  <si>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</si>
  <si>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</si>
  <si>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</si>
  <si>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</si>
  <si>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</si>
  <si>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</si>
  <si>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</si>
  <si>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</si>
  <si>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</si>
  <si>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</si>
  <si>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</si>
  <si>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</si>
  <si>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</si>
  <si>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</si>
  <si>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</si>
  <si>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</si>
  <si>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</si>
  <si>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</si>
  <si>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</si>
  <si>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</si>
  <si>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</si>
  <si>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</si>
  <si>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</si>
  <si>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</si>
  <si>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</si>
  <si>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</si>
  <si>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</si>
  <si>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</si>
  <si>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</si>
  <si>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</si>
  <si>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</si>
  <si>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</si>
  <si>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</si>
  <si>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</si>
  <si>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</si>
  <si>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</si>
  <si>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</si>
  <si>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</si>
  <si>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</si>
  <si>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</si>
  <si>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</si>
  <si>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</si>
  <si>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</si>
  <si>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</si>
  <si>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</si>
  <si>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</si>
  <si>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</si>
  <si>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</si>
  <si>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</si>
  <si>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</si>
  <si>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</si>
  <si>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</si>
  <si>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</si>
  <si>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</si>
  <si>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</si>
  <si>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</si>
  <si>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</si>
  <si>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</si>
  <si>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</si>
  <si>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</si>
  <si>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</si>
  <si>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</si>
  <si>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</si>
  <si>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</si>
  <si>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</si>
  <si>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</si>
  <si>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</si>
  <si>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</si>
  <si>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</si>
  <si>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</si>
  <si>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</si>
  <si>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</si>
  <si>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</si>
  <si>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</si>
  <si>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</si>
  <si>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</si>
  <si>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</si>
  <si>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</si>
  <si>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</si>
  <si>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</si>
  <si>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</si>
  <si>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</si>
  <si>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</si>
  <si>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</si>
  <si>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</si>
  <si>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</si>
  <si>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</si>
  <si>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</si>
  <si>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</si>
  <si>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</si>
  <si>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</si>
  <si>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</si>
  <si>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</si>
  <si>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</si>
  <si>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</si>
  <si>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</si>
  <si>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</si>
  <si>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</si>
  <si>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</si>
  <si>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</si>
  <si>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</si>
  <si>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</si>
  <si>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</si>
  <si>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</si>
  <si>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</si>
  <si>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</si>
  <si>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</si>
  <si>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</si>
  <si>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</si>
  <si>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</si>
  <si>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</si>
  <si>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</si>
  <si>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</si>
  <si>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</si>
  <si>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</si>
  <si>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</si>
  <si>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</si>
  <si>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</si>
  <si>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</si>
  <si>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</si>
  <si>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</si>
  <si>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</si>
  <si>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</si>
  <si>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</si>
  <si>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</si>
  <si>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</si>
  <si>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</si>
  <si>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</si>
  <si>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</si>
  <si>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</si>
  <si>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</si>
  <si>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</si>
  <si>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</si>
  <si>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</si>
  <si>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</si>
  <si>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</si>
  <si>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</si>
  <si>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</si>
  <si>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</si>
  <si>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</si>
  <si>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</si>
  <si>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</si>
  <si>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</si>
  <si>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</si>
  <si>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</si>
  <si>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</si>
  <si>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</si>
  <si>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</si>
  <si>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</si>
  <si>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</si>
  <si>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</si>
  <si>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</si>
  <si>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</si>
  <si>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</si>
  <si>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</si>
  <si>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</si>
  <si>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</si>
  <si>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</si>
  <si>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</si>
  <si>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</si>
  <si>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</si>
  <si>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</si>
  <si>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</si>
  <si>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</si>
  <si>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</si>
  <si>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</si>
  <si>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</si>
  <si>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</si>
  <si>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</si>
  <si>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</si>
  <si>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</si>
  <si>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</si>
  <si>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</si>
  <si>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</si>
  <si>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</si>
  <si>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</si>
  <si>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</si>
  <si>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</si>
  <si>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</si>
  <si>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</si>
  <si>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</si>
  <si>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</si>
  <si>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</si>
  <si>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</si>
  <si>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</si>
  <si>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</si>
  <si>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</si>
  <si>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</si>
  <si>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</si>
  <si>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</si>
  <si>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</si>
  <si>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</si>
  <si>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</si>
  <si>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</si>
  <si>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</si>
  <si>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</si>
  <si>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</si>
  <si>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</si>
  <si>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</si>
  <si>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</si>
  <si>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</si>
  <si>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</si>
  <si>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</si>
  <si>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</si>
  <si>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</si>
  <si>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</si>
  <si>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</si>
  <si>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</si>
  <si>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</si>
  <si>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</si>
  <si>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</si>
  <si>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</si>
  <si>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</si>
  <si>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</si>
  <si>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</si>
  <si>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</si>
  <si>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</si>
  <si>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</si>
  <si>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</si>
  <si>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</si>
  <si>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</si>
  <si>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</si>
  <si>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</si>
  <si>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</si>
  <si>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</si>
  <si>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</si>
  <si>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</si>
  <si>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</si>
  <si>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</si>
  <si>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</si>
  <si>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</si>
  <si>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</si>
  <si>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</si>
  <si>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</si>
  <si>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</si>
  <si>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</si>
  <si>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</si>
  <si>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</si>
  <si>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</si>
  <si>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</si>
  <si>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</si>
  <si>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</si>
  <si>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</si>
  <si>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</si>
  <si>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</si>
  <si>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</si>
  <si>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</si>
  <si>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</si>
  <si>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</si>
  <si>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</si>
  <si>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</si>
  <si>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</si>
  <si>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</si>
  <si>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</si>
  <si>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</si>
  <si>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</si>
  <si>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</si>
  <si>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</si>
  <si>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</si>
  <si>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</si>
  <si>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</si>
  <si>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</si>
  <si>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</si>
  <si>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</si>
  <si>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</si>
  <si>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</si>
  <si>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</si>
  <si>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</si>
  <si>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</si>
  <si>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</si>
  <si>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</si>
  <si>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</si>
  <si>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</si>
  <si>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</si>
  <si>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</si>
  <si>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</si>
  <si>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</si>
  <si>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</si>
  <si>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</si>
  <si>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</si>
  <si>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</si>
  <si>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</si>
  <si>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</si>
  <si>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</si>
  <si>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</si>
  <si>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</si>
  <si>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</si>
  <si>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</si>
  <si>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</si>
  <si>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</si>
  <si>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</si>
  <si>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</si>
  <si>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</si>
  <si>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</si>
  <si>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</si>
  <si>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</si>
  <si>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</si>
  <si>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</si>
  <si>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</si>
  <si>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</si>
  <si>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</si>
  <si>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</si>
  <si>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</si>
  <si>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</si>
  <si>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</si>
  <si>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</si>
  <si>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</si>
  <si>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</si>
  <si>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</si>
  <si>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</si>
  <si>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</si>
  <si>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</si>
  <si>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</si>
  <si>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</si>
  <si>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</si>
  <si>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</si>
  <si>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</si>
  <si>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</si>
  <si>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</si>
  <si>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</si>
  <si>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</si>
  <si>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</si>
  <si>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</si>
  <si>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</si>
  <si>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</si>
  <si>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</si>
  <si>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</si>
  <si>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</si>
  <si>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</si>
  <si>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</si>
  <si>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</si>
  <si>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</si>
  <si>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</si>
  <si>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</si>
  <si>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</si>
  <si>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</si>
  <si>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</si>
  <si>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</si>
  <si>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</si>
  <si>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</si>
  <si>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</si>
  <si>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</si>
  <si>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</si>
  <si>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</si>
  <si>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</si>
  <si>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</si>
  <si>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</si>
  <si>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</si>
  <si>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</si>
  <si>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</si>
  <si>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</si>
  <si>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</si>
  <si>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</si>
  <si>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</si>
  <si>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</si>
  <si>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</si>
  <si>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</si>
  <si>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</si>
  <si>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</si>
  <si>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</si>
  <si>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</si>
  <si>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</si>
  <si>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</si>
  <si>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</si>
  <si>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</si>
  <si>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</si>
  <si>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</si>
  <si>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</si>
  <si>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</si>
  <si>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</si>
  <si>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</si>
  <si>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</si>
  <si>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</si>
  <si>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</si>
  <si>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</si>
  <si>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</si>
  <si>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</si>
  <si>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</si>
  <si>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</si>
  <si>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</si>
  <si>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</si>
  <si>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</si>
  <si>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</si>
  <si>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</si>
  <si>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</si>
  <si>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</si>
  <si>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</si>
  <si>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</si>
  <si>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</si>
  <si>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</si>
  <si>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</si>
  <si>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</si>
  <si>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</si>
  <si>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</si>
  <si>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</si>
  <si>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</si>
  <si>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</si>
  <si>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</si>
  <si>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</si>
  <si>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</si>
  <si>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</si>
  <si>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</si>
  <si>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</si>
  <si>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</si>
  <si>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</si>
  <si>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</si>
  <si>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</si>
  <si>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</si>
  <si>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</si>
  <si>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</si>
  <si>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</si>
  <si>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</si>
  <si>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</si>
  <si>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</si>
  <si>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</si>
  <si>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</si>
  <si>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</si>
  <si>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</si>
  <si>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</si>
  <si>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</si>
  <si>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</si>
  <si>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</si>
  <si>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</si>
  <si>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</si>
  <si>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</si>
  <si>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</si>
  <si>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</si>
  <si>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</si>
  <si>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</si>
  <si>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</si>
  <si>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</si>
  <si>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</si>
  <si>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</si>
  <si>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</si>
  <si>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</si>
  <si>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</si>
  <si>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</si>
  <si>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</si>
  <si>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</si>
  <si>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</si>
  <si>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</si>
  <si>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</si>
  <si>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</si>
  <si>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</si>
  <si>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</si>
  <si>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</si>
  <si>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</si>
  <si>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</si>
  <si>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</si>
  <si>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</si>
  <si>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</si>
  <si>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</si>
  <si>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</si>
  <si>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</si>
  <si>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</si>
  <si>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</si>
  <si>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</si>
  <si>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</si>
  <si>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</si>
  <si>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</si>
  <si>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</si>
  <si>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</si>
  <si>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</si>
  <si>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</si>
  <si>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</si>
  <si>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</si>
  <si>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</si>
  <si>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</si>
  <si>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</si>
  <si>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</si>
  <si>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</si>
  <si>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</si>
  <si>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</si>
  <si>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</si>
  <si>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</si>
  <si>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</si>
  <si>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</si>
  <si>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</si>
  <si>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</si>
  <si>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</si>
  <si>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</si>
  <si>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</si>
  <si>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</si>
  <si>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</si>
  <si>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</si>
  <si>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</si>
  <si>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</si>
  <si>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</si>
  <si>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</si>
  <si>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</si>
  <si>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</si>
  <si>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</si>
  <si>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</si>
  <si>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</si>
  <si>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</si>
  <si>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</si>
  <si>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</si>
  <si>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</si>
  <si>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</si>
  <si>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</si>
  <si>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</si>
  <si>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</si>
  <si>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</si>
  <si>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</si>
  <si>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</si>
  <si>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</si>
  <si>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</si>
  <si>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</si>
  <si>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</si>
  <si>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</si>
  <si>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</si>
  <si>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</si>
  <si>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</si>
  <si>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</si>
  <si>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</si>
  <si>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</si>
  <si>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</si>
  <si>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</si>
  <si>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</si>
  <si>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</si>
  <si>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</si>
  <si>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</si>
  <si>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</si>
  <si>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</si>
  <si>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</si>
  <si>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</si>
  <si>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</si>
  <si>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</si>
  <si>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</si>
  <si>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</si>
  <si>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</si>
  <si>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</si>
  <si>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</si>
  <si>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</si>
  <si>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</si>
  <si>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</si>
  <si>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</si>
  <si>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</si>
  <si>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</si>
  <si>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</si>
  <si>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</si>
  <si>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</si>
  <si>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</si>
  <si>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</si>
  <si>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</si>
  <si>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</si>
  <si>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</si>
  <si>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</si>
  <si>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</si>
  <si>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</si>
  <si>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</si>
  <si>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</si>
  <si>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</si>
  <si>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</si>
  <si>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</si>
  <si>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</si>
  <si>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</si>
  <si>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</si>
  <si>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</si>
  <si>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</si>
  <si>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</si>
  <si>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</si>
  <si>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</si>
  <si>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</si>
  <si>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</si>
  <si>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</si>
  <si>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</si>
  <si>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</si>
  <si>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</si>
  <si>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</si>
  <si>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</si>
  <si>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</si>
  <si>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</si>
  <si>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</si>
  <si>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</si>
  <si>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</si>
  <si>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</si>
  <si>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</si>
  <si>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</si>
  <si>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</si>
  <si>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</si>
  <si>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</si>
  <si>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</si>
  <si>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</si>
  <si>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</si>
  <si>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</si>
  <si>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</si>
  <si>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</si>
  <si>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</si>
  <si>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</si>
  <si>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</si>
  <si>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</si>
  <si>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</si>
  <si>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</si>
  <si>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</si>
  <si>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</si>
  <si>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</si>
  <si>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</si>
  <si>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</si>
  <si>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</si>
  <si>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</si>
  <si>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</si>
  <si>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</si>
  <si>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</si>
  <si>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</si>
  <si>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</si>
  <si>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</si>
  <si>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</si>
  <si>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</si>
  <si>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</si>
  <si>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</si>
  <si>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</si>
  <si>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</si>
  <si>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</si>
  <si>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</si>
  <si>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</si>
  <si>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</si>
  <si>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</si>
  <si>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</si>
  <si>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</si>
  <si>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</si>
  <si>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</si>
  <si>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</si>
  <si>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</si>
  <si>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</si>
  <si>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</si>
  <si>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</si>
  <si>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</si>
  <si>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</si>
  <si>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</si>
  <si>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</si>
  <si>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</si>
  <si>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</si>
  <si>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</si>
  <si>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</si>
  <si>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</si>
  <si>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</si>
  <si>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</si>
  <si>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</si>
  <si>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</si>
  <si>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</si>
  <si>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</si>
  <si>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</si>
  <si>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</si>
  <si>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</si>
  <si>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</si>
  <si>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</si>
  <si>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</si>
  <si>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</si>
  <si>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</si>
  <si>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</si>
  <si>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</si>
  <si>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</si>
  <si>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</si>
  <si>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</si>
  <si>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</si>
  <si>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</si>
  <si>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</si>
  <si>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</si>
  <si>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</si>
  <si>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</si>
  <si>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</si>
  <si>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</si>
  <si>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</si>
  <si>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</si>
  <si>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</si>
  <si>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</si>
  <si>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</si>
  <si>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</si>
  <si>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</si>
  <si>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</si>
  <si>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</si>
  <si>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</si>
  <si>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</si>
  <si>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</si>
  <si>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</si>
  <si>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</si>
  <si>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</si>
  <si>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</si>
  <si>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</si>
  <si>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</si>
  <si>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</si>
  <si>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</si>
  <si>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</si>
  <si>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</si>
  <si>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</si>
  <si>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</si>
  <si>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</si>
  <si>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</si>
  <si>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</si>
  <si>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</si>
  <si>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</si>
  <si>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</si>
  <si>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</si>
  <si>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</si>
  <si>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</si>
  <si>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</si>
  <si>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</si>
  <si>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</si>
  <si>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</si>
  <si>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</si>
  <si>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</si>
  <si>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</si>
  <si>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</si>
  <si>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</si>
  <si>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</si>
  <si>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</si>
  <si>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</si>
  <si>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</si>
  <si>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</si>
  <si>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</si>
  <si>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</si>
  <si>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</si>
  <si>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</si>
  <si>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</si>
  <si>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</si>
  <si>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</si>
  <si>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</si>
  <si>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</si>
  <si>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</si>
  <si>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</si>
  <si>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</si>
  <si>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</si>
  <si>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</si>
  <si>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</si>
  <si>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</si>
  <si>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</si>
  <si>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</si>
  <si>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</si>
  <si>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</si>
  <si>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</si>
  <si>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</si>
  <si>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</si>
  <si>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</si>
  <si>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</si>
  <si>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</si>
  <si>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</si>
  <si>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</si>
  <si>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</si>
  <si>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</si>
  <si>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</si>
  <si>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</si>
  <si>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</si>
  <si>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</si>
  <si>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</si>
  <si>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</si>
  <si>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</si>
  <si>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</si>
  <si>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</si>
  <si>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</si>
  <si>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</si>
  <si>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</si>
  <si>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</si>
  <si>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</si>
  <si>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</si>
  <si>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</si>
  <si>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</si>
  <si>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</si>
  <si>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</si>
  <si>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</si>
  <si>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</si>
  <si>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</si>
  <si>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</si>
  <si>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</si>
  <si>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</si>
  <si>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</si>
  <si>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</si>
  <si>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</si>
  <si>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</si>
  <si>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</si>
  <si>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</si>
  <si>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</si>
  <si>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</si>
  <si>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</si>
  <si>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</si>
  <si>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</si>
  <si>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</si>
  <si>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</si>
  <si>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</si>
  <si>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</si>
  <si>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</si>
  <si>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</si>
  <si>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</si>
  <si>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</si>
  <si>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</si>
  <si>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</si>
  <si>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</si>
  <si>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</si>
  <si>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</si>
  <si>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</si>
  <si>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</si>
  <si>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</si>
  <si>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</si>
  <si>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</si>
  <si>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</si>
  <si>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</si>
  <si>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</si>
  <si>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</si>
  <si>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</si>
  <si>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</si>
  <si>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</si>
  <si>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</si>
  <si>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</si>
  <si>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</si>
  <si>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</si>
  <si>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</si>
  <si>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</si>
  <si>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</si>
  <si>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</si>
  <si>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</si>
  <si>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</si>
  <si>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</si>
  <si>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</si>
  <si>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</si>
  <si>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</si>
  <si>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</si>
  <si>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</si>
  <si>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</si>
  <si>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</si>
  <si>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</si>
  <si>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</si>
  <si>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</si>
  <si>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</si>
  <si>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</si>
  <si>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</si>
  <si>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</si>
  <si>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</si>
  <si>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</si>
  <si>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</si>
  <si>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</si>
  <si>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</si>
  <si>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</si>
  <si>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</si>
  <si>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</si>
  <si>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</si>
  <si>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</si>
  <si>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</si>
  <si>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</si>
  <si>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</si>
  <si>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</si>
  <si>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</si>
  <si>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</si>
  <si>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</si>
  <si>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</si>
  <si>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</si>
  <si>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</si>
  <si>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</si>
  <si>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</si>
  <si>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</si>
  <si>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</si>
  <si>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</si>
  <si>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</si>
  <si>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</si>
  <si>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</si>
  <si>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</si>
  <si>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</si>
  <si>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</si>
  <si>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</si>
  <si>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</si>
  <si>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</si>
  <si>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</si>
  <si>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</si>
  <si>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</si>
  <si>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</si>
  <si>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</si>
  <si>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</si>
  <si>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</si>
  <si>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</si>
  <si>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</si>
  <si>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</si>
  <si>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</si>
  <si>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</si>
  <si>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</si>
  <si>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</si>
  <si>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</si>
  <si>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</si>
  <si>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</si>
  <si>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</si>
  <si>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</si>
  <si>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</si>
  <si>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</si>
  <si>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</si>
  <si>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</si>
  <si>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</si>
  <si>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</si>
  <si>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</si>
  <si>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</si>
  <si>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</si>
  <si>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</si>
  <si>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</si>
  <si>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</si>
  <si>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</si>
  <si>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</si>
  <si>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</si>
  <si>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</si>
  <si>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</si>
  <si>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</si>
  <si>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</si>
  <si>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</si>
  <si>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</si>
  <si>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</si>
  <si>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</si>
  <si>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</si>
  <si>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</si>
  <si>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</si>
  <si>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</si>
  <si>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</si>
  <si>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</si>
  <si>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</si>
  <si>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</si>
  <si>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</si>
  <si>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</si>
  <si>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</si>
  <si>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</si>
  <si>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</si>
  <si>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</si>
  <si>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</si>
  <si>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</si>
  <si>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</si>
  <si>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</si>
  <si>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</si>
  <si>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</si>
  <si>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</si>
  <si>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</si>
  <si>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</si>
  <si>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</si>
  <si>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</si>
  <si>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</si>
  <si>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</si>
  <si>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</si>
  <si>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</si>
  <si>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</si>
  <si>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</si>
  <si>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</si>
  <si>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</si>
  <si>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</si>
  <si>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</si>
  <si>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</si>
  <si>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</si>
  <si>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</si>
  <si>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</si>
  <si>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</si>
  <si>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</si>
  <si>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</si>
  <si>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</si>
  <si>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</si>
  <si>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</si>
  <si>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</si>
  <si>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</si>
  <si>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</si>
  <si>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</si>
  <si>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</si>
  <si>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</si>
  <si>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</si>
  <si>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</si>
  <si>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</si>
  <si>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</si>
  <si>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</si>
  <si>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</si>
  <si>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</si>
  <si>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</si>
  <si>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</si>
  <si>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</si>
  <si>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</si>
  <si>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</si>
  <si>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</si>
  <si>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</si>
  <si>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</si>
  <si>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</si>
  <si>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</si>
  <si>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</si>
  <si>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</si>
  <si>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</si>
  <si>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</si>
  <si>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</si>
  <si>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</si>
  <si>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</si>
  <si>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</si>
  <si>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</si>
  <si>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</si>
  <si>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</si>
  <si>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</si>
  <si>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</si>
  <si>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</si>
  <si>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</si>
  <si>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</si>
  <si>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</si>
  <si>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</si>
  <si>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</si>
  <si>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</si>
  <si>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</si>
  <si>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</si>
  <si>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</si>
  <si>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</si>
  <si>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</si>
  <si>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</si>
  <si>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</si>
  <si>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</si>
  <si>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</si>
  <si>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</si>
  <si>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</si>
  <si>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</si>
  <si>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</si>
  <si>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</si>
  <si>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</si>
  <si>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</si>
  <si>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</si>
  <si>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</si>
  <si>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</si>
  <si>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</si>
  <si>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</si>
  <si>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</si>
  <si>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</si>
  <si>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</si>
  <si>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</si>
  <si>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</si>
  <si>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</si>
  <si>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</si>
  <si>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</si>
  <si>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</si>
  <si>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</si>
  <si>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</si>
  <si>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</si>
  <si>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</si>
  <si>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</si>
  <si>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</si>
  <si>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</si>
  <si>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</si>
  <si>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</si>
  <si>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</si>
  <si>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</si>
  <si>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</si>
  <si>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</si>
  <si>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</si>
  <si>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</si>
  <si>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</si>
  <si>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</si>
  <si>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</si>
  <si>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</si>
  <si>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</si>
  <si>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</si>
  <si>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</si>
  <si>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</si>
  <si>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</si>
  <si>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</si>
  <si>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</si>
  <si>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</si>
  <si>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</si>
  <si>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</si>
  <si>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</si>
  <si>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</si>
  <si>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</si>
  <si>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</si>
  <si>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</si>
  <si>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</si>
  <si>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</si>
  <si>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</si>
  <si>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</si>
  <si>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</si>
  <si>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</si>
  <si>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</si>
  <si>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</si>
  <si>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</si>
  <si>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</si>
  <si>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</si>
  <si>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</si>
  <si>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</si>
  <si>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</si>
  <si>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</si>
  <si>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</si>
  <si>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</si>
  <si>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</si>
  <si>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</si>
  <si>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</si>
  <si>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</si>
  <si>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</si>
  <si>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</si>
  <si>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</si>
  <si>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</si>
  <si>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</si>
  <si>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</si>
  <si>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</si>
  <si>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</si>
  <si>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</si>
  <si>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</si>
  <si>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</si>
  <si>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</si>
  <si>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</si>
  <si>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</si>
  <si>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</si>
  <si>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</si>
  <si>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</si>
  <si>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</si>
  <si>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</si>
  <si>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</si>
  <si>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</si>
  <si>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</si>
  <si>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</si>
  <si>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</si>
  <si>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</si>
  <si>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</si>
  <si>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</si>
  <si>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</si>
  <si>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</si>
  <si>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</si>
  <si>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</si>
  <si>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</si>
  <si>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</si>
  <si>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</si>
  <si>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</si>
  <si>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</si>
  <si>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</si>
  <si>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</si>
  <si>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</si>
  <si>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</si>
  <si>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</si>
  <si>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</si>
  <si>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</si>
  <si>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</si>
  <si>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</si>
  <si>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</si>
  <si>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</si>
  <si>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</si>
  <si>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</si>
  <si>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</si>
  <si>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</si>
  <si>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</si>
  <si>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</si>
  <si>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</si>
  <si>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</si>
  <si>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</si>
  <si>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</si>
  <si>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</si>
  <si>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</si>
  <si>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</si>
  <si>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</si>
  <si>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</si>
  <si>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</si>
  <si>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</si>
  <si>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</si>
  <si>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</si>
  <si>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</si>
  <si>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</si>
  <si>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</si>
  <si>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</si>
  <si>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</si>
  <si>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</si>
  <si>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</si>
  <si>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</si>
  <si>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</si>
  <si>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</si>
  <si>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</si>
  <si>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</si>
  <si>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</si>
  <si>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</si>
  <si>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</si>
  <si>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</si>
  <si>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</si>
  <si>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</si>
  <si>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</si>
  <si>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</si>
  <si>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</si>
  <si>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</si>
  <si>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</si>
  <si>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</si>
  <si>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</si>
  <si>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</si>
  <si>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</si>
  <si>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</si>
  <si>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</si>
  <si>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</si>
  <si>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</si>
  <si>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</si>
  <si>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</si>
  <si>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</si>
  <si>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</si>
  <si>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</si>
  <si>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</si>
  <si>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</si>
  <si>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</si>
  <si>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</si>
  <si>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</si>
  <si>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</si>
  <si>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</si>
  <si>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</si>
  <si>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</si>
  <si>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</si>
  <si>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</si>
  <si>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</si>
  <si>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</si>
  <si>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</si>
  <si>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</si>
  <si>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</si>
  <si>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</si>
  <si>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</si>
  <si>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</si>
  <si>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</si>
  <si>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</si>
  <si>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</si>
  <si>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</si>
  <si>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</si>
  <si>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</si>
  <si>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</si>
  <si>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</si>
  <si>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</si>
  <si>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</si>
  <si>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</si>
  <si>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</si>
  <si>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</si>
  <si>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</si>
  <si>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</si>
  <si>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</si>
  <si>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</si>
  <si>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</si>
  <si>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</si>
  <si>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</si>
  <si>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</si>
  <si>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</si>
  <si>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</si>
  <si>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</si>
  <si>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</si>
  <si>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</si>
  <si>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</si>
  <si>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</si>
  <si>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</si>
  <si>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</si>
  <si>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</si>
  <si>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</si>
  <si>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</si>
  <si>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</si>
  <si>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</si>
  <si>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</si>
  <si>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</si>
  <si>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</si>
  <si>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</si>
  <si>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</si>
  <si>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</si>
  <si>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</si>
  <si>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</si>
  <si>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</si>
  <si>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</si>
  <si>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</si>
  <si>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</si>
  <si>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</si>
  <si>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</si>
  <si>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</si>
  <si>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</si>
  <si>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</si>
  <si>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</si>
  <si>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</si>
  <si>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</si>
  <si>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</si>
  <si>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</si>
  <si>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</si>
  <si>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</si>
  <si>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</si>
  <si>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</si>
  <si>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</si>
  <si>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</si>
  <si>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</si>
  <si>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</si>
  <si>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</si>
  <si>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</si>
  <si>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</si>
  <si>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</si>
  <si>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</si>
  <si>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</si>
  <si>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</si>
  <si>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</si>
  <si>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</si>
  <si>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</si>
  <si>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</si>
  <si>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</si>
  <si>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</si>
  <si>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</si>
  <si>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</si>
  <si>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</si>
  <si>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</si>
  <si>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</si>
  <si>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</si>
  <si>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</si>
  <si>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</si>
  <si>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</si>
  <si>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</si>
  <si>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</si>
  <si>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</si>
  <si>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</si>
  <si>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</si>
  <si>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</si>
  <si>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</si>
  <si>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</si>
  <si>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</si>
  <si>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</si>
  <si>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</si>
  <si>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</si>
  <si>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</si>
  <si>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</si>
  <si>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</si>
  <si>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</si>
  <si>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</si>
  <si>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</si>
  <si>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</si>
  <si>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</si>
  <si>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</si>
  <si>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</si>
  <si>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</si>
  <si>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</si>
  <si>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</si>
  <si>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</si>
  <si>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</si>
  <si>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</si>
  <si>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</si>
  <si>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</si>
  <si>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</si>
  <si>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</si>
  <si>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</si>
  <si>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</si>
  <si>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</si>
  <si>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</si>
  <si>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</si>
  <si>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</si>
  <si>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</si>
  <si>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</si>
  <si>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</si>
  <si>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</si>
  <si>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</si>
  <si>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</si>
  <si>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</si>
  <si>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</si>
  <si>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</si>
  <si>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</si>
  <si>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</si>
  <si>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</si>
  <si>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</si>
  <si>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</si>
  <si>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</si>
  <si>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</si>
  <si>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</si>
  <si>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</si>
  <si>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</si>
  <si>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</si>
  <si>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</si>
  <si>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</si>
  <si>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</si>
  <si>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</si>
  <si>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</si>
  <si>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</si>
  <si>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</si>
  <si>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</si>
  <si>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</si>
  <si>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</si>
  <si>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</si>
  <si>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</si>
  <si>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</si>
  <si>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</si>
  <si>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</si>
  <si>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</si>
  <si>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</si>
  <si>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</si>
  <si>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</si>
  <si>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</si>
  <si>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</si>
  <si>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</si>
  <si>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</si>
  <si>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</si>
  <si>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</si>
  <si>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</si>
  <si>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</si>
  <si>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</si>
  <si>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</si>
  <si>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</si>
  <si>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</si>
  <si>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</si>
  <si>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</si>
  <si>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</si>
  <si>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</si>
  <si>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</si>
  <si>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</si>
  <si>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</si>
  <si>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</si>
  <si>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</si>
  <si>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</si>
  <si>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</si>
  <si>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</si>
  <si>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</si>
  <si>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</si>
  <si>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</si>
  <si>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</si>
  <si>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</si>
  <si>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</si>
  <si>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</si>
  <si>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</si>
  <si>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</si>
  <si>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</si>
  <si>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</si>
  <si>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</si>
  <si>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</si>
  <si>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</si>
  <si>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</si>
  <si>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</si>
  <si>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</si>
  <si>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</si>
  <si>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</si>
  <si>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</si>
  <si>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</si>
  <si>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</si>
  <si>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</si>
  <si>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</si>
  <si>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</si>
  <si>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</si>
  <si>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</si>
  <si>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</si>
  <si>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</si>
  <si>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</si>
  <si>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</si>
  <si>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</si>
  <si>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</si>
  <si>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</si>
  <si>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</si>
  <si>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</si>
  <si>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</si>
  <si>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</si>
  <si>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</si>
  <si>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</si>
  <si>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</si>
  <si>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</si>
  <si>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</si>
  <si>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</si>
  <si>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</si>
  <si>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</si>
  <si>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</si>
  <si>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</si>
  <si>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</si>
  <si>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</si>
  <si>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</si>
  <si>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</si>
  <si>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</si>
  <si>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</si>
  <si>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</si>
  <si>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</si>
  <si>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</si>
  <si>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</si>
  <si>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</si>
  <si>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</si>
  <si>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</si>
  <si>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</si>
  <si>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</si>
  <si>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</si>
  <si>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</si>
  <si>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</si>
  <si>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</si>
  <si>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</si>
  <si>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</si>
  <si>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</si>
  <si>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</si>
  <si>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</si>
  <si>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</si>
  <si>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</si>
  <si>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</si>
  <si>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</si>
  <si>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</si>
  <si>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</si>
  <si>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</si>
  <si>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</si>
  <si>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</si>
  <si>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</si>
  <si>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</si>
  <si>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</si>
  <si>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</si>
  <si>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</si>
  <si>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</si>
  <si>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</si>
  <si>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</si>
  <si>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</si>
  <si>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</si>
  <si>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</si>
  <si>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</si>
  <si>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</si>
  <si>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</si>
  <si>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</si>
  <si>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</si>
  <si>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</si>
  <si>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</si>
  <si>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</si>
  <si>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</si>
  <si>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</si>
  <si>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</si>
  <si>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</si>
  <si>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</si>
  <si>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</si>
  <si>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</si>
  <si>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</si>
  <si>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</si>
  <si>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</si>
  <si>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</si>
  <si>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</si>
  <si>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</si>
  <si>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</si>
  <si>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</si>
  <si>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</si>
  <si>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</si>
  <si>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</si>
  <si>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</si>
  <si>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</si>
  <si>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</si>
  <si>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</si>
  <si>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</si>
  <si>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</si>
  <si>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</si>
  <si>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</si>
  <si>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</si>
  <si>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</si>
  <si>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</si>
  <si>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</si>
  <si>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</si>
  <si>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</si>
  <si>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</si>
  <si>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</si>
  <si>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</si>
  <si>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</si>
  <si>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</si>
  <si>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</si>
  <si>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</si>
  <si>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</si>
  <si>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</si>
  <si>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</si>
  <si>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</si>
  <si>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</si>
  <si>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</si>
  <si>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</si>
  <si>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</si>
  <si>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</si>
  <si>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</si>
  <si>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</si>
  <si>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</si>
  <si>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</si>
  <si>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</si>
  <si>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</si>
  <si>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</si>
  <si>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</si>
  <si>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</si>
  <si>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</si>
  <si>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</si>
  <si>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</si>
  <si>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</si>
  <si>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</si>
  <si>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</si>
  <si>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</si>
  <si>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</si>
  <si>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</si>
  <si>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</si>
  <si>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</si>
  <si>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</si>
  <si>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</si>
  <si>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</si>
  <si>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</si>
  <si>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</si>
  <si>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</si>
  <si>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</si>
  <si>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</si>
  <si>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</si>
  <si>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</si>
  <si>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</si>
  <si>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</si>
  <si>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</si>
  <si>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</si>
  <si>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</si>
  <si>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</si>
  <si>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</si>
  <si>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</si>
  <si>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</si>
  <si>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</si>
  <si>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</si>
  <si>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</si>
  <si>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</si>
  <si>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</si>
  <si>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</si>
  <si>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</si>
  <si>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</si>
  <si>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</si>
  <si>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</si>
  <si>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</si>
  <si>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</si>
  <si>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</si>
  <si>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</si>
  <si>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</si>
  <si>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</si>
  <si>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</si>
  <si>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</si>
  <si>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</si>
  <si>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</si>
  <si>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</si>
  <si>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</si>
  <si>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</si>
  <si>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</si>
  <si>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</si>
  <si>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</si>
  <si>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</si>
  <si>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</si>
  <si>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</si>
  <si>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</si>
  <si>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</si>
  <si>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</si>
  <si>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</si>
  <si>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</si>
  <si>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</si>
  <si>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</si>
  <si>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</si>
  <si>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</si>
  <si>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</si>
  <si>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</si>
  <si>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</si>
  <si>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</si>
  <si>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</si>
  <si>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</si>
  <si>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</si>
  <si>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</si>
  <si>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</si>
  <si>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</si>
  <si>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</si>
  <si>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</si>
  <si>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</si>
  <si>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</si>
  <si>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</si>
  <si>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</si>
  <si>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</si>
  <si>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</si>
  <si>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</si>
  <si>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</si>
  <si>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</si>
  <si>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</si>
  <si>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</si>
  <si>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</si>
  <si>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</si>
  <si>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</si>
  <si>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</si>
  <si>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</si>
  <si>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</si>
  <si>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</si>
  <si>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</si>
  <si>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</si>
  <si>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</si>
  <si>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</si>
  <si>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</si>
  <si>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</si>
  <si>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</si>
  <si>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</si>
  <si>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</si>
  <si>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</si>
  <si>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</si>
  <si>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</si>
  <si>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</si>
  <si>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</si>
  <si>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</si>
  <si>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</si>
  <si>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</si>
  <si>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</si>
  <si>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</si>
  <si>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</si>
  <si>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</si>
  <si>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</si>
  <si>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</si>
  <si>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</si>
  <si>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</si>
  <si>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</si>
  <si>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</si>
  <si>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</si>
  <si>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</si>
  <si>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</si>
  <si>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</si>
  <si>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</si>
  <si>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</si>
  <si>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</si>
  <si>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</si>
  <si>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</si>
  <si>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</si>
  <si>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</si>
  <si>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</si>
  <si>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</si>
  <si>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</si>
  <si>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</si>
  <si>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</si>
  <si>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</si>
  <si>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</si>
  <si>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</si>
  <si>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</si>
  <si>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</si>
  <si>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</si>
  <si>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</si>
  <si>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</si>
  <si>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</si>
  <si>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</si>
  <si>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</si>
  <si>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</si>
  <si>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</si>
  <si>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</si>
  <si>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</si>
  <si>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</si>
  <si>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</si>
  <si>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</si>
  <si>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</si>
  <si>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</si>
  <si>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</si>
  <si>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</si>
  <si>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</si>
  <si>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</si>
  <si>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</si>
  <si>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</si>
  <si>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</si>
  <si>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</si>
  <si>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</si>
  <si>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</si>
  <si>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</si>
  <si>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</si>
  <si>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</si>
  <si>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</si>
  <si>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</si>
  <si>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</si>
  <si>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</si>
  <si>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</si>
  <si>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</si>
  <si>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</si>
  <si>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</si>
  <si>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</si>
  <si>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</si>
  <si>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</si>
  <si>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</si>
  <si>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</si>
  <si>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</si>
  <si>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</si>
  <si>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</si>
  <si>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</si>
  <si>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</si>
  <si>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</si>
  <si>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</si>
  <si>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</si>
  <si>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</si>
  <si>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</si>
  <si>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</si>
  <si>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</si>
  <si>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</si>
  <si>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</si>
  <si>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</si>
  <si>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</si>
  <si>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</si>
  <si>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</si>
  <si>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</si>
  <si>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</si>
  <si>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</si>
  <si>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</si>
  <si>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</si>
  <si>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</si>
  <si>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</si>
  <si>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</si>
  <si>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</si>
  <si>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</si>
  <si>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</si>
  <si>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</si>
  <si>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</si>
  <si>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</si>
  <si>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</si>
  <si>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</si>
  <si>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</si>
  <si>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</si>
  <si>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</si>
  <si>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</si>
  <si>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</si>
  <si>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</si>
  <si>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</si>
  <si>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</si>
  <si>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</si>
  <si>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</si>
  <si>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</si>
  <si>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</si>
  <si>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</si>
  <si>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</si>
  <si>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</si>
  <si>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</si>
  <si>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</si>
  <si>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</si>
  <si>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</si>
  <si>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</si>
  <si>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</si>
  <si>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</si>
  <si>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</si>
  <si>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</si>
  <si>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</si>
  <si>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</si>
  <si>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</si>
  <si>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</si>
  <si>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</si>
  <si>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</si>
  <si>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</si>
  <si>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</si>
  <si>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</si>
  <si>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</si>
  <si>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</si>
  <si>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</si>
  <si>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</si>
  <si>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</si>
  <si>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</si>
  <si>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</si>
  <si>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</si>
  <si>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</si>
  <si>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</si>
  <si>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</si>
  <si>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</si>
  <si>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</si>
  <si>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</si>
  <si>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</si>
  <si>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</si>
  <si>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</si>
  <si>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</si>
  <si>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</si>
  <si>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</si>
  <si>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</si>
  <si>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</si>
  <si>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</si>
  <si>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</si>
  <si>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</si>
  <si>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</si>
  <si>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</si>
  <si>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</si>
  <si>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</si>
  <si>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</si>
  <si>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</si>
  <si>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</si>
  <si>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</si>
  <si>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</si>
  <si>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</si>
  <si>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</si>
  <si>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</si>
  <si>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</si>
  <si>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</si>
  <si>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</si>
  <si>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</si>
  <si>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</si>
  <si>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</si>
  <si>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</si>
  <si>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</si>
  <si>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</si>
  <si>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</si>
  <si>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</si>
  <si>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</si>
  <si>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</si>
  <si>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</si>
  <si>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</si>
  <si>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</si>
  <si>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</si>
  <si>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</si>
  <si>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</si>
  <si>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</si>
  <si>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</si>
  <si>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</si>
  <si>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</si>
  <si>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</si>
  <si>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</si>
  <si>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</si>
  <si>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</si>
  <si>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</si>
  <si>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</si>
  <si>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</si>
  <si>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</si>
  <si>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</si>
  <si>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</si>
  <si>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</si>
  <si>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</si>
  <si>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</si>
  <si>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</si>
  <si>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</si>
  <si>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</si>
  <si>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</si>
  <si>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</si>
  <si>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</si>
  <si>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</si>
  <si>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</si>
  <si>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</si>
  <si>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</si>
  <si>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</si>
  <si>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</si>
  <si>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</si>
  <si>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</si>
  <si>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</si>
  <si>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</si>
  <si>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</si>
  <si>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</si>
  <si>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</si>
  <si>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</si>
  <si>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</si>
  <si>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</si>
  <si>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</si>
  <si>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</si>
  <si>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</si>
  <si>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</si>
  <si>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</si>
  <si>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</si>
  <si>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</si>
  <si>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</si>
  <si>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</si>
  <si>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</si>
  <si>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</si>
  <si>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</si>
  <si>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</si>
  <si>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</si>
  <si>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</si>
  <si>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</si>
  <si>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</si>
  <si>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</si>
  <si>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</si>
  <si>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</si>
  <si>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</si>
  <si>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</si>
  <si>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</si>
  <si>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</si>
  <si>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</si>
  <si>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</si>
  <si>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</si>
  <si>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</si>
  <si>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</si>
  <si>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</si>
  <si>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</si>
  <si>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</si>
  <si>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</si>
  <si>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</si>
  <si>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</si>
  <si>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</si>
  <si>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</si>
  <si>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</si>
  <si>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</si>
  <si>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</si>
  <si>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</si>
  <si>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</si>
  <si>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</si>
  <si>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</si>
  <si>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</si>
  <si>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</si>
  <si>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</si>
  <si>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</si>
  <si>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</si>
  <si>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</si>
  <si>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</si>
  <si>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</si>
  <si>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</si>
  <si>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</si>
  <si>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</si>
  <si>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</si>
  <si>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</si>
  <si>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</si>
  <si>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</si>
  <si>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</si>
  <si>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</si>
  <si>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</si>
  <si>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</si>
  <si>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</si>
  <si>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</si>
  <si>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</si>
  <si>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</si>
  <si>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</si>
  <si>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</si>
  <si>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</si>
  <si>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</si>
  <si>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</si>
  <si>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</si>
  <si>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</si>
  <si>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</si>
  <si>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</si>
  <si>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</si>
  <si>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</si>
  <si>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</si>
  <si>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</si>
  <si>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</si>
  <si>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</si>
  <si>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</si>
  <si>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</si>
  <si>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</si>
  <si>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</si>
  <si>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</si>
  <si>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</si>
  <si>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</si>
  <si>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</si>
  <si>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</si>
  <si>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</si>
  <si>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</si>
  <si>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</si>
  <si>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</si>
  <si>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</si>
  <si>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</si>
  <si>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</si>
  <si>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</si>
  <si>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</si>
  <si>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</si>
  <si>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</si>
  <si>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</si>
  <si>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</si>
  <si>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</si>
  <si>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</si>
  <si>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</si>
  <si>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</si>
  <si>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</si>
  <si>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</si>
  <si>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</si>
  <si>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</si>
  <si>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</si>
  <si>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</si>
  <si>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</si>
  <si>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</si>
  <si>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</si>
  <si>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</si>
  <si>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</si>
  <si>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</si>
  <si>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</si>
  <si>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</si>
  <si>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</si>
  <si>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</si>
  <si>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</si>
  <si>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</si>
  <si>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</si>
  <si>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</si>
  <si>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</si>
  <si>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</si>
  <si>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</si>
  <si>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</si>
  <si>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</si>
  <si>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</si>
  <si>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</si>
  <si>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</si>
  <si>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</si>
  <si>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</si>
  <si>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</si>
  <si>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</si>
  <si>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</si>
  <si>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</si>
  <si>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</si>
  <si>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</si>
  <si>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</si>
  <si>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</si>
  <si>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</si>
  <si>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</si>
  <si>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</si>
  <si>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</si>
  <si>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</si>
  <si>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</si>
  <si>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</si>
  <si>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</si>
  <si>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</si>
  <si>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</si>
  <si>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</si>
  <si>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</si>
  <si>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</si>
  <si>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</si>
  <si>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</si>
  <si>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</si>
  <si>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</si>
  <si>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</si>
  <si>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</si>
  <si>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</si>
  <si>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</si>
  <si>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</si>
  <si>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</si>
  <si>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</si>
  <si>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</si>
  <si>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</si>
  <si>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</si>
  <si>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</si>
  <si>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</si>
  <si>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</si>
  <si>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</si>
  <si>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</si>
  <si>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</si>
  <si>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</si>
  <si>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</si>
  <si>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</si>
  <si>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</si>
  <si>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</si>
  <si>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</si>
  <si>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</si>
  <si>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</si>
  <si>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</si>
  <si>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</si>
  <si>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</si>
  <si>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</si>
  <si>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</si>
  <si>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</si>
  <si>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</si>
  <si>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</si>
  <si>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</si>
  <si>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</si>
  <si>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</si>
  <si>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</si>
  <si>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</si>
  <si>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</si>
  <si>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</si>
  <si>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</si>
  <si>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</si>
  <si>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</si>
  <si>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</si>
  <si>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</si>
  <si>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</si>
  <si>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</si>
  <si>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</si>
  <si>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</si>
  <si>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</si>
  <si>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</si>
  <si>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</si>
  <si>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</si>
  <si>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</si>
  <si>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</si>
  <si>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</si>
  <si>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</si>
  <si>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</si>
  <si>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</si>
  <si>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</si>
  <si>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</si>
  <si>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</si>
  <si>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</si>
  <si>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</si>
  <si>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</si>
  <si>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</si>
  <si>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</si>
  <si>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</si>
  <si>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</si>
  <si>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</si>
  <si>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</si>
  <si>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</si>
  <si>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</si>
  <si>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</si>
  <si>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</si>
  <si>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</si>
  <si>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</si>
  <si>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</si>
  <si>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</si>
  <si>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</si>
  <si>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</si>
  <si>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</si>
  <si>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</si>
  <si>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</si>
  <si>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</si>
  <si>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</si>
  <si>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</si>
  <si>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</si>
  <si>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</si>
  <si>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</si>
  <si>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</si>
  <si>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</si>
  <si>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</si>
  <si>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</si>
  <si>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</si>
  <si>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</si>
  <si>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</si>
  <si>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</si>
  <si>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</si>
  <si>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</si>
  <si>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</si>
  <si>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</si>
  <si>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</si>
  <si>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</si>
  <si>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</si>
  <si>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</si>
  <si>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</si>
  <si>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</si>
  <si>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</si>
  <si>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</si>
  <si>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</si>
  <si>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</si>
  <si>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</si>
  <si>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</si>
  <si>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</si>
  <si>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</si>
  <si>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</si>
  <si>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</si>
  <si>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</si>
  <si>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</si>
  <si>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</si>
  <si>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</si>
  <si>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</si>
  <si>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</si>
  <si>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</si>
  <si>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</si>
  <si>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</si>
  <si>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</si>
  <si>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</si>
  <si>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</si>
  <si>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</si>
  <si>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</si>
  <si>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</si>
  <si>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</si>
  <si>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</si>
  <si>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</si>
  <si>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</si>
  <si>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</si>
  <si>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</si>
  <si>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</si>
  <si>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</si>
  <si>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</si>
  <si>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</si>
  <si>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</si>
  <si>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</si>
  <si>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</si>
  <si>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</si>
  <si>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</si>
  <si>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</si>
  <si>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</si>
  <si>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</si>
  <si>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</si>
  <si>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</si>
  <si>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</si>
  <si>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</si>
  <si>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</si>
  <si>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</si>
  <si>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</si>
  <si>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</si>
  <si>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</si>
  <si>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</si>
  <si>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</si>
  <si>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</si>
  <si>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</si>
  <si>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</si>
  <si>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</si>
  <si>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</si>
  <si>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</si>
  <si>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</si>
  <si>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</si>
  <si>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</si>
  <si>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</si>
  <si>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</si>
  <si>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</si>
  <si>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</si>
  <si>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</si>
  <si>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</si>
  <si>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</si>
  <si>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</si>
  <si>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</si>
  <si>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</si>
  <si>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</si>
  <si>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</si>
  <si>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</si>
  <si>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</si>
  <si>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</si>
  <si>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</si>
  <si>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</si>
  <si>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</si>
  <si>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</si>
  <si>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</si>
  <si>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</si>
  <si>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</si>
  <si>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</si>
  <si>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</si>
  <si>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</si>
  <si>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</si>
  <si>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</si>
  <si>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</si>
  <si>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</si>
  <si>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</si>
  <si>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</si>
  <si>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</si>
  <si>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</si>
  <si>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</si>
  <si>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</si>
  <si>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</si>
  <si>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</si>
  <si>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</si>
  <si>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</si>
  <si>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</si>
  <si>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</si>
  <si>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</si>
  <si>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</si>
  <si>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</si>
  <si>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</si>
  <si>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</si>
  <si>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</si>
  <si>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</si>
  <si>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</si>
  <si>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</si>
  <si>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</si>
  <si>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</si>
  <si>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</si>
  <si>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</si>
  <si>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</si>
  <si>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</si>
  <si>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</si>
  <si>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</si>
  <si>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</si>
  <si>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</si>
  <si>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</si>
  <si>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</si>
  <si>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</si>
  <si>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</si>
  <si>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</si>
  <si>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</si>
  <si>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</si>
  <si>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</si>
  <si>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</si>
  <si>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</si>
  <si>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</si>
  <si>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</si>
  <si>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</si>
  <si>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</si>
  <si>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</si>
  <si>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</si>
  <si>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</si>
  <si>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</si>
  <si>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</si>
  <si>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</si>
  <si>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</si>
  <si>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</si>
  <si>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</si>
  <si>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</si>
  <si>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</si>
  <si>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</si>
  <si>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</si>
  <si>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</si>
  <si>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</si>
  <si>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</si>
  <si>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</si>
  <si>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</si>
  <si>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</si>
  <si>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</si>
  <si>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</si>
  <si>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</si>
  <si>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</si>
  <si>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</si>
  <si>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</si>
  <si>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</si>
  <si>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</si>
  <si>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</si>
  <si>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</si>
  <si>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</si>
  <si>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</si>
  <si>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</si>
  <si>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</si>
  <si>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</si>
  <si>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</si>
  <si>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</si>
  <si>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</si>
  <si>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</si>
  <si>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</si>
  <si>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</si>
  <si>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</si>
  <si>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</si>
  <si>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</si>
  <si>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</si>
  <si>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</si>
  <si>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</si>
  <si>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</si>
  <si>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</si>
  <si>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</si>
  <si>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</si>
  <si>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</si>
  <si>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</si>
  <si>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</si>
  <si>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</si>
  <si>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</si>
  <si>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</si>
  <si>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</si>
  <si>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</si>
  <si>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</si>
  <si>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</si>
  <si>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</si>
  <si>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</si>
  <si>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</si>
  <si>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</si>
  <si>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</si>
  <si>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</si>
  <si>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</si>
  <si>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</si>
  <si>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</si>
  <si>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</si>
  <si>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</si>
  <si>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</si>
  <si>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</si>
  <si>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</si>
  <si>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</si>
  <si>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</si>
  <si>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</si>
  <si>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</si>
  <si>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</si>
  <si>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</si>
  <si>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</si>
  <si>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</si>
  <si>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</si>
  <si>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</si>
  <si>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</si>
  <si>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</si>
  <si>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</si>
  <si>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</si>
  <si>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</si>
  <si>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</si>
  <si>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</si>
  <si>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</si>
  <si>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</si>
  <si>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</si>
  <si>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</si>
  <si>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</si>
  <si>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</si>
  <si>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</si>
  <si>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</si>
  <si>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</si>
  <si>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</si>
  <si>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</si>
  <si>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</si>
  <si>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</si>
  <si>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</si>
  <si>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</si>
  <si>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</si>
  <si>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</si>
  <si>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</si>
  <si>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</si>
  <si>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</si>
  <si>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</si>
  <si>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</si>
  <si>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</si>
  <si>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</si>
  <si>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</si>
  <si>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</si>
  <si>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</si>
  <si>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</si>
  <si>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</si>
  <si>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</si>
  <si>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</si>
  <si>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</si>
  <si>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</si>
  <si>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</si>
  <si>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</si>
  <si>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</si>
  <si>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</si>
  <si>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</si>
  <si>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</si>
  <si>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</si>
  <si>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</si>
  <si>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</si>
  <si>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</si>
  <si>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</si>
  <si>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</si>
  <si>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</si>
  <si>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</si>
  <si>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</si>
  <si>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</si>
  <si>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</si>
  <si>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</si>
  <si>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</si>
  <si>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</si>
  <si>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</si>
  <si>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</si>
  <si>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</si>
  <si>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</si>
  <si>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</si>
  <si>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</si>
  <si>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</si>
  <si>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</si>
  <si>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</si>
  <si>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</si>
  <si>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</si>
  <si>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</si>
  <si>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</si>
  <si>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</si>
  <si>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</si>
  <si>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</si>
  <si>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</si>
  <si>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</si>
  <si>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</si>
  <si>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</si>
  <si>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</si>
  <si>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</si>
  <si>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</si>
  <si>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</si>
  <si>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</si>
  <si>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</si>
  <si>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</si>
  <si>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</si>
  <si>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</si>
  <si>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</si>
  <si>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</si>
  <si>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</si>
  <si>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</si>
  <si>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</si>
  <si>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</si>
  <si>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</si>
  <si>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</si>
  <si>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</si>
  <si>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</si>
  <si>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</si>
  <si>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</si>
  <si>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</si>
  <si>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</si>
  <si>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</si>
  <si>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</si>
  <si>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</si>
  <si>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</si>
  <si>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</si>
  <si>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</si>
  <si>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</si>
  <si>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</si>
  <si>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</si>
  <si>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</si>
  <si>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</si>
  <si>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</si>
  <si>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</si>
  <si>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</si>
  <si>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</si>
  <si>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</si>
  <si>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</si>
  <si>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</si>
  <si>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</si>
  <si>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</si>
  <si>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</si>
  <si>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</si>
  <si>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</si>
  <si>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</si>
  <si>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</si>
  <si>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</si>
  <si>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</si>
  <si>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</si>
  <si>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</si>
  <si>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</si>
  <si>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</si>
  <si>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</si>
  <si>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</si>
  <si>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</si>
  <si>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</si>
  <si>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</si>
  <si>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</si>
  <si>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</si>
  <si>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</si>
  <si>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</si>
  <si>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</si>
  <si>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</si>
  <si>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</si>
  <si>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</si>
  <si>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</si>
  <si>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</si>
  <si>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</si>
  <si>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</si>
  <si>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</si>
  <si>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</si>
  <si>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</si>
  <si>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</si>
  <si>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</si>
  <si>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</si>
  <si>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</si>
  <si>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</si>
  <si>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</si>
  <si>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</si>
  <si>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</si>
  <si>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</si>
  <si>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</si>
  <si>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</si>
  <si>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</si>
  <si>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</si>
  <si>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</si>
  <si>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</si>
  <si>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</si>
  <si>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</si>
  <si>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</si>
  <si>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</si>
  <si>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</si>
  <si>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</si>
  <si>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</si>
  <si>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</si>
  <si>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</si>
  <si>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</si>
  <si>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</si>
  <si>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</si>
  <si>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</si>
  <si>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</si>
  <si>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</si>
  <si>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</si>
  <si>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</si>
  <si>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</si>
  <si>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</si>
  <si>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</si>
  <si>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</si>
  <si>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</si>
  <si>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</si>
  <si>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</si>
  <si>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</si>
  <si>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</si>
  <si>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</si>
  <si>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</si>
  <si>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</si>
  <si>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</si>
  <si>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</si>
  <si>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</si>
  <si>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</si>
  <si>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</si>
  <si>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</si>
  <si>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</si>
  <si>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</si>
  <si>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</si>
  <si>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</si>
  <si>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</si>
  <si>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</si>
  <si>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</si>
  <si>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</si>
  <si>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</si>
  <si>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</si>
  <si>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</si>
  <si>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</si>
  <si>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</si>
  <si>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</si>
  <si>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</si>
  <si>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</si>
  <si>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</si>
  <si>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</si>
  <si>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</si>
  <si>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</si>
  <si>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</si>
  <si>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</si>
  <si>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</si>
  <si>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</si>
  <si>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</si>
  <si>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</si>
  <si>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</si>
  <si>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</si>
  <si>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</si>
  <si>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</si>
  <si>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</si>
  <si>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</si>
  <si>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</si>
  <si>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</si>
  <si>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</si>
  <si>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</si>
  <si>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</si>
  <si>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</si>
  <si>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</si>
  <si>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</si>
  <si>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</si>
  <si>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</si>
  <si>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</si>
  <si>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</si>
  <si>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</si>
  <si>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</si>
  <si>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</si>
  <si>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</si>
  <si>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</si>
  <si>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</si>
  <si>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</si>
  <si>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</si>
  <si>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</si>
  <si>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</si>
  <si>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</si>
  <si>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</si>
  <si>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</si>
  <si>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</si>
  <si>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</si>
  <si>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</si>
  <si>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</si>
  <si>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</si>
  <si>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</si>
  <si>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</si>
  <si>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</si>
  <si>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</si>
  <si>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</si>
  <si>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</si>
  <si>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</si>
  <si>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</si>
  <si>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</si>
  <si>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</si>
  <si>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</si>
  <si>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</si>
  <si>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</si>
  <si>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</si>
  <si>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</si>
  <si>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</si>
  <si>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</si>
  <si>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</si>
  <si>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</si>
  <si>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</si>
  <si>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</si>
  <si>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</si>
  <si>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</si>
  <si>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</si>
  <si>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</si>
  <si>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</si>
  <si>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</si>
  <si>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</si>
  <si>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</si>
  <si>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</si>
  <si>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</si>
  <si>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</si>
  <si>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</si>
  <si>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</si>
  <si>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</si>
  <si>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</si>
  <si>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</si>
  <si>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</si>
  <si>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</si>
  <si>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</si>
  <si>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</si>
  <si>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</si>
  <si>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</si>
  <si>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</si>
  <si>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</si>
  <si>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</si>
  <si>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</si>
  <si>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</si>
  <si>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</si>
  <si>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</si>
  <si>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</si>
  <si>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</si>
  <si>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</si>
  <si>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</si>
  <si>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</si>
  <si>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</si>
  <si>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</si>
  <si>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</si>
  <si>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</si>
  <si>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</si>
  <si>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</si>
  <si>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</si>
  <si>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</si>
  <si>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</si>
  <si>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</si>
  <si>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</si>
  <si>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</si>
  <si>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</si>
  <si>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</si>
  <si>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</si>
  <si>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</si>
  <si>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</si>
  <si>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</si>
  <si>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</si>
  <si>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</si>
  <si>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</si>
  <si>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</si>
  <si>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</si>
  <si>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</si>
  <si>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</si>
  <si>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</si>
  <si>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</si>
  <si>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</si>
  <si>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</si>
  <si>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</si>
  <si>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</si>
  <si>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</si>
  <si>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</si>
  <si>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</si>
  <si>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</si>
  <si>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</si>
  <si>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</si>
  <si>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</si>
  <si>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</si>
  <si>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</si>
  <si>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</si>
  <si>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</si>
  <si>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</si>
  <si>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</si>
  <si>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</si>
  <si>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</si>
  <si>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</si>
  <si>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</si>
  <si>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</si>
  <si>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</si>
  <si>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</si>
  <si>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</si>
  <si>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</si>
  <si>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</si>
  <si>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</si>
  <si>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</si>
  <si>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</si>
  <si>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</si>
  <si>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</si>
  <si>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</si>
  <si>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</si>
  <si>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</si>
  <si>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</si>
  <si>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</si>
  <si>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</si>
  <si>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</si>
  <si>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</si>
  <si>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</si>
  <si>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</si>
  <si>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</si>
  <si>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</si>
  <si>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</si>
  <si>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</si>
  <si>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</si>
  <si>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</si>
  <si>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</si>
  <si>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</si>
  <si>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</si>
  <si>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</si>
  <si>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</si>
  <si>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</si>
  <si>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</si>
  <si>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</si>
  <si>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</si>
  <si>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</si>
  <si>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</si>
  <si>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</si>
  <si>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</si>
  <si>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</si>
  <si>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</si>
  <si>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</si>
  <si>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</si>
  <si>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</si>
  <si>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</si>
  <si>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</si>
  <si>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</si>
  <si>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</si>
  <si>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</si>
  <si>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</si>
  <si>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</si>
  <si>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</si>
  <si>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</si>
  <si>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</si>
  <si>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</si>
  <si>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</si>
  <si>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</si>
  <si>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</si>
  <si>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</si>
  <si>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</si>
  <si>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</si>
  <si>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</si>
  <si>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</si>
  <si>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</si>
  <si>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</si>
  <si>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</si>
  <si>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</si>
  <si>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</si>
  <si>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</si>
  <si>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</si>
  <si>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</si>
  <si>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</si>
  <si>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</si>
  <si>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</si>
  <si>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</si>
  <si>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</si>
  <si>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</si>
  <si>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</si>
  <si>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</si>
  <si>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</si>
  <si>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</si>
  <si>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</si>
  <si>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</si>
  <si>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</si>
  <si>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</si>
  <si>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</si>
  <si>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</si>
  <si>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</si>
  <si>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</si>
  <si>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</si>
  <si>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</si>
  <si>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</si>
  <si>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</si>
  <si>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</si>
  <si>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</si>
  <si>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</si>
  <si>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</si>
  <si>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</si>
  <si>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</si>
  <si>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</si>
  <si>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</si>
  <si>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</si>
  <si>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</si>
  <si>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</si>
  <si>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</si>
  <si>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</si>
  <si>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</si>
  <si>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</si>
  <si>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</si>
  <si>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</si>
  <si>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</si>
  <si>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</si>
  <si>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</si>
  <si>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</si>
  <si>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</si>
  <si>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</si>
  <si>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</si>
  <si>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</si>
  <si>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</si>
  <si>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</si>
  <si>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</si>
  <si>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</si>
  <si>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</si>
  <si>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</si>
  <si>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</si>
  <si>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</si>
  <si>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</si>
  <si>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</si>
  <si>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</si>
  <si>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</si>
  <si>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</si>
  <si>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</si>
  <si>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</si>
  <si>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</si>
  <si>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</si>
  <si>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</si>
  <si>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</si>
  <si>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</si>
  <si>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</si>
  <si>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</si>
  <si>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</si>
  <si>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</si>
  <si>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</si>
  <si>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</si>
  <si>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</si>
  <si>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</si>
  <si>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</si>
  <si>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</si>
  <si>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</si>
  <si>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</si>
  <si>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</si>
  <si>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</si>
  <si>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</si>
  <si>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</si>
  <si>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</si>
  <si>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</si>
  <si>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</si>
  <si>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</si>
  <si>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</si>
  <si>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</si>
  <si>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</si>
  <si>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</si>
  <si>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</si>
  <si>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</si>
  <si>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</si>
  <si>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</si>
  <si>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</si>
  <si>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</si>
  <si>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</si>
  <si>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</si>
  <si>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</si>
  <si>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</si>
  <si>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</si>
  <si>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</si>
  <si>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</si>
  <si>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</si>
  <si>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</si>
  <si>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</si>
  <si>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</si>
  <si>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</si>
  <si>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</si>
  <si>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</si>
  <si>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</si>
  <si>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</si>
  <si>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</si>
  <si>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</si>
  <si>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</si>
  <si>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</si>
  <si>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</si>
  <si>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</si>
  <si>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</si>
  <si>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</si>
  <si>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</si>
  <si>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</si>
  <si>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</si>
  <si>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</si>
  <si>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</si>
  <si>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</si>
  <si>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</si>
  <si>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</si>
  <si>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</si>
  <si>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</si>
  <si>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</si>
  <si>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</si>
  <si>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</si>
  <si>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</si>
  <si>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</si>
  <si>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</si>
  <si>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</si>
  <si>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</si>
  <si>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</si>
  <si>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</si>
  <si>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</si>
  <si>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</si>
  <si>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</si>
  <si>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</si>
  <si>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</si>
  <si>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</si>
  <si>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</si>
  <si>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</si>
  <si>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</si>
  <si>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</si>
  <si>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</si>
  <si>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</si>
  <si>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</si>
  <si>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</si>
  <si>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</si>
  <si>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</si>
  <si>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</si>
  <si>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</si>
  <si>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</si>
  <si>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</si>
  <si>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</si>
  <si>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</si>
  <si>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</si>
  <si>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</si>
  <si>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</si>
  <si>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</si>
  <si>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</si>
  <si>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</si>
  <si>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</si>
  <si>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</si>
  <si>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</si>
  <si>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</si>
  <si>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</si>
  <si>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</si>
  <si>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</si>
  <si>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</si>
  <si>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</si>
  <si>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</si>
  <si>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</si>
  <si>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</si>
  <si>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</si>
  <si>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</si>
  <si>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</si>
  <si>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</si>
  <si>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</si>
  <si>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</si>
  <si>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</si>
  <si>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</si>
  <si>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</si>
  <si>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</si>
  <si>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</si>
  <si>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</si>
  <si>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</si>
  <si>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</si>
  <si>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</si>
  <si>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</si>
  <si>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</si>
  <si>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</si>
  <si>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</si>
  <si>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</si>
  <si>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</si>
  <si>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</si>
  <si>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</si>
  <si>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</si>
  <si>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</si>
  <si>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</si>
  <si>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</si>
  <si>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</si>
  <si>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</si>
  <si>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</si>
  <si>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</si>
  <si>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</si>
  <si>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</si>
  <si>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</si>
  <si>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</si>
  <si>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</si>
  <si>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</si>
  <si>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</si>
  <si>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</si>
  <si>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</si>
  <si>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</si>
  <si>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</si>
  <si>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</si>
  <si>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</si>
  <si>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</si>
  <si>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</si>
  <si>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</si>
  <si>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</si>
  <si>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</si>
  <si>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</si>
  <si>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</si>
  <si>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</si>
  <si>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</si>
  <si>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</si>
  <si>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</si>
  <si>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</si>
  <si>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</si>
  <si>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</si>
  <si>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</si>
  <si>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</si>
  <si>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</si>
  <si>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</si>
  <si>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</si>
  <si>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</si>
  <si>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</si>
  <si>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</si>
  <si>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</si>
  <si>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</si>
  <si>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</si>
  <si>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</si>
  <si>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</si>
  <si>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</si>
  <si>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</si>
  <si>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</si>
  <si>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</si>
  <si>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</si>
  <si>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</si>
  <si>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</si>
  <si>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</si>
  <si>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</si>
  <si>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</si>
  <si>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</si>
  <si>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</si>
  <si>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</si>
  <si>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</si>
  <si>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</si>
  <si>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</si>
  <si>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</si>
  <si>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</si>
  <si>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</si>
  <si>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</si>
  <si>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</si>
  <si>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</si>
  <si>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</si>
  <si>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</si>
  <si>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</si>
  <si>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</si>
  <si>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</si>
  <si>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</si>
  <si>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</si>
  <si>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</si>
  <si>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</si>
  <si>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</si>
  <si>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</si>
  <si>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</si>
  <si>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</si>
  <si>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</si>
  <si>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</si>
  <si>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</si>
  <si>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</si>
  <si>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</si>
  <si>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</si>
  <si>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</si>
  <si>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</si>
  <si>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</si>
  <si>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</si>
  <si>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</si>
  <si>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</si>
  <si>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</si>
  <si>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</si>
  <si>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</si>
  <si>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</si>
  <si>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</si>
  <si>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</si>
  <si>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</si>
  <si>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</si>
  <si>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</si>
  <si>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</si>
  <si>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</si>
  <si>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</si>
  <si>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</si>
  <si>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</si>
  <si>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</si>
  <si>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</si>
  <si>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</si>
  <si>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</si>
  <si>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</si>
  <si>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</si>
  <si>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</si>
  <si>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</si>
  <si>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</si>
  <si>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</si>
  <si>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</si>
  <si>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</si>
  <si>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</si>
  <si>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</si>
  <si>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</si>
  <si>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</si>
  <si>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</si>
  <si>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</si>
  <si>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</si>
  <si>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</si>
  <si>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</si>
  <si>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</si>
  <si>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</si>
  <si>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</si>
  <si>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</si>
  <si>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</si>
  <si>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</si>
  <si>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</si>
  <si>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</si>
  <si>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</si>
  <si>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</si>
  <si>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</si>
  <si>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</si>
  <si>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</si>
  <si>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</si>
  <si>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</si>
  <si>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</si>
  <si>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</si>
  <si>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</si>
  <si>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</si>
  <si>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</si>
  <si>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</si>
  <si>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</si>
  <si>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</si>
  <si>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</si>
  <si>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</si>
  <si>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</si>
  <si>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</si>
  <si>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</si>
  <si>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</si>
  <si>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</si>
  <si>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</si>
  <si>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</si>
  <si>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</si>
  <si>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</si>
  <si>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</si>
  <si>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</si>
  <si>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</si>
  <si>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</si>
  <si>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</si>
  <si>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</si>
  <si>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</si>
  <si>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</si>
  <si>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</si>
  <si>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</si>
  <si>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</si>
  <si>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</si>
  <si>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</si>
  <si>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</si>
  <si>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</si>
  <si>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</si>
  <si>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</si>
  <si>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</si>
  <si>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</si>
  <si>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</si>
  <si>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</si>
  <si>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</si>
  <si>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</si>
  <si>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</si>
  <si>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</si>
  <si>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</si>
  <si>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</si>
  <si>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</si>
  <si>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</si>
  <si>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</si>
  <si>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</si>
  <si>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</si>
  <si>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</si>
  <si>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</si>
  <si>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</si>
  <si>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</si>
  <si>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</si>
  <si>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</si>
  <si>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</si>
  <si>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</si>
  <si>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</si>
  <si>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</si>
  <si>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</si>
  <si>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</si>
  <si>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</si>
  <si>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</si>
  <si>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</si>
  <si>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</si>
  <si>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</si>
  <si>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</si>
  <si>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</si>
  <si>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</si>
  <si>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</si>
  <si>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</si>
  <si>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</si>
  <si>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</si>
  <si>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</si>
  <si>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</si>
  <si>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</si>
  <si>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</si>
  <si>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</si>
  <si>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</si>
  <si>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</si>
  <si>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</si>
  <si>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</si>
  <si>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</si>
  <si>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</si>
  <si>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</si>
  <si>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</si>
  <si>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</si>
  <si>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</si>
  <si>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</si>
  <si>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</si>
  <si>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</si>
  <si>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</si>
  <si>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</si>
  <si>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</si>
  <si>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</si>
  <si>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</si>
  <si>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</si>
  <si>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</si>
  <si>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</si>
  <si>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</si>
  <si>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</si>
  <si>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</si>
  <si>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</si>
  <si>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</si>
  <si>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</si>
  <si>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</si>
  <si>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</si>
  <si>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</si>
  <si>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</si>
  <si>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</si>
  <si>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</si>
  <si>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</si>
  <si>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</si>
  <si>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</si>
  <si>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</si>
  <si>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</si>
  <si>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</si>
  <si>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</si>
  <si>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</si>
  <si>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</si>
  <si>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</si>
  <si>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</si>
  <si>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</si>
  <si>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</si>
  <si>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</si>
  <si>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</si>
  <si>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</si>
  <si>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</si>
  <si>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</si>
  <si>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</si>
  <si>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</si>
  <si>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</si>
  <si>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</si>
  <si>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</si>
  <si>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</si>
  <si>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</si>
  <si>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</si>
  <si>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</si>
  <si>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</si>
  <si>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</si>
  <si>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</si>
  <si>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</si>
  <si>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</si>
  <si>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</si>
  <si>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</si>
  <si>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</si>
  <si>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</si>
  <si>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</si>
  <si>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</si>
  <si>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</si>
  <si>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</si>
  <si>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</si>
  <si>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</si>
  <si>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</si>
  <si>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</si>
  <si>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</si>
  <si>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</si>
  <si>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</si>
  <si>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</si>
  <si>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</si>
  <si>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</si>
  <si>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</si>
  <si>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</si>
  <si>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</si>
  <si>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</si>
  <si>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</si>
  <si>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</si>
  <si>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</si>
  <si>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</si>
  <si>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</si>
  <si>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</si>
  <si>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</si>
  <si>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</si>
  <si>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</si>
  <si>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</si>
  <si>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</si>
  <si>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</si>
  <si>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</si>
  <si>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</si>
  <si>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</si>
  <si>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</si>
  <si>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</si>
  <si>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</si>
  <si>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</si>
  <si>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</si>
  <si>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</si>
  <si>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</si>
  <si>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</si>
  <si>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</si>
  <si>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</si>
  <si>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</si>
  <si>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</si>
  <si>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</si>
  <si>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</si>
  <si>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</si>
  <si>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</si>
  <si>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</si>
  <si>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</si>
  <si>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</si>
  <si>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</si>
  <si>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</si>
  <si>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</si>
  <si>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</si>
  <si>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</si>
  <si>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</si>
  <si>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</si>
  <si>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</si>
  <si>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</si>
  <si>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</si>
  <si>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</si>
  <si>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</si>
  <si>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</si>
  <si>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</si>
  <si>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</si>
  <si>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</si>
  <si>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</si>
  <si>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</si>
  <si>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</si>
  <si>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</si>
  <si>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</si>
  <si>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</si>
  <si>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</si>
  <si>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</si>
  <si>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</si>
  <si>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</si>
  <si>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</si>
  <si>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</si>
  <si>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</si>
  <si>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</si>
  <si>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</si>
  <si>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</si>
  <si>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</si>
  <si>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</si>
  <si>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</si>
  <si>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</si>
  <si>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</si>
  <si>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</si>
  <si>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</si>
  <si>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</si>
  <si>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</si>
  <si>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</si>
  <si>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</si>
  <si>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</si>
  <si>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</si>
  <si>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</si>
  <si>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</si>
  <si>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</si>
  <si>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</si>
  <si>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</si>
  <si>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</si>
  <si>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</si>
  <si>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</si>
  <si>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</si>
  <si>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</si>
  <si>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</si>
  <si>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</si>
  <si>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</si>
  <si>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</si>
  <si>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</si>
  <si>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</si>
  <si>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</si>
  <si>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</si>
  <si>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</si>
  <si>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</si>
  <si>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</si>
  <si>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</si>
  <si>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</si>
  <si>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</si>
  <si>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</si>
  <si>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</si>
  <si>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</si>
  <si>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</si>
  <si>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</si>
  <si>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</si>
  <si>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</si>
  <si>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</si>
  <si>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</si>
  <si>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</si>
  <si>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</si>
  <si>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</si>
  <si>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</si>
  <si>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</si>
  <si>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</si>
  <si>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</si>
  <si>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</si>
  <si>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</si>
  <si>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</si>
  <si>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</si>
  <si>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</si>
  <si>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</si>
  <si>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</si>
  <si>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</si>
  <si>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</si>
  <si>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</si>
  <si>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</si>
  <si>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</si>
  <si>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</si>
  <si>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</si>
  <si>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</si>
  <si>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</si>
  <si>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</si>
  <si>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</si>
  <si>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</si>
  <si>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</si>
  <si>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</si>
  <si>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</si>
  <si>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</si>
  <si>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</si>
  <si>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</si>
  <si>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</si>
  <si>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</si>
  <si>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</si>
  <si>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</si>
  <si>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</si>
  <si>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</si>
  <si>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</si>
  <si>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</si>
  <si>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</si>
  <si>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</si>
  <si>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</si>
  <si>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</si>
  <si>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</si>
  <si>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</si>
  <si>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</si>
  <si>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</si>
  <si>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</si>
  <si>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</si>
  <si>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</si>
  <si>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</si>
  <si>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</si>
  <si>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</si>
  <si>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</si>
  <si>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</si>
  <si>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</si>
  <si>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</si>
  <si>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</si>
  <si>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</si>
  <si>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</si>
  <si>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</si>
  <si>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</si>
  <si>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</si>
  <si>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</si>
  <si>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</si>
  <si>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</si>
  <si>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</si>
  <si>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</si>
  <si>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</si>
  <si>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</si>
  <si>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</si>
  <si>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</si>
  <si>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</si>
  <si>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</si>
  <si>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</si>
  <si>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</si>
  <si>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</si>
  <si>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</si>
  <si>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</si>
  <si>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</si>
  <si>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</si>
  <si>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</si>
  <si>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</si>
  <si>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</si>
  <si>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</si>
  <si>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</si>
  <si>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</si>
  <si>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</si>
  <si>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</si>
  <si>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</si>
  <si>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</si>
  <si>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</si>
  <si>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</si>
  <si>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</si>
  <si>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</si>
  <si>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</si>
  <si>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</si>
  <si>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</si>
  <si>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</si>
  <si>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</si>
  <si>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</si>
  <si>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</si>
  <si>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</si>
  <si>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</si>
  <si>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</si>
  <si>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</si>
  <si>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</si>
  <si>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</si>
  <si>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</si>
  <si>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</si>
  <si>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</si>
  <si>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</si>
  <si>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</si>
  <si>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</si>
  <si>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</si>
  <si>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</si>
  <si>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</si>
  <si>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</si>
  <si>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</si>
  <si>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</si>
  <si>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</si>
  <si>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</si>
  <si>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</si>
  <si>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</si>
  <si>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</si>
  <si>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</si>
  <si>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</si>
  <si>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</si>
  <si>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</si>
  <si>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</si>
  <si>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</si>
  <si>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</si>
  <si>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</si>
  <si>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</si>
  <si>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</si>
  <si>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</si>
  <si>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</si>
  <si>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</si>
  <si>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</si>
  <si>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</si>
  <si>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</si>
  <si>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</si>
  <si>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</si>
  <si>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</si>
  <si>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</si>
  <si>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</si>
  <si>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</si>
  <si>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</si>
  <si>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</si>
  <si>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</si>
  <si>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</si>
  <si>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</si>
  <si>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</si>
  <si>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</si>
  <si>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</si>
  <si>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</si>
  <si>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</si>
  <si>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</si>
  <si>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</si>
  <si>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</si>
  <si>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</si>
  <si>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</si>
  <si>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</si>
  <si>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</si>
  <si>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</si>
  <si>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</si>
  <si>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</si>
  <si>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</si>
  <si>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</si>
  <si>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</si>
  <si>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</si>
  <si>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</si>
  <si>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</si>
  <si>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</si>
  <si>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</si>
  <si>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</si>
  <si>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</si>
  <si>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</si>
  <si>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</si>
  <si>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</si>
  <si>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</si>
  <si>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</si>
  <si>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</si>
  <si>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</si>
  <si>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</si>
  <si>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</si>
  <si>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</si>
  <si>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</si>
  <si>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</si>
  <si>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</si>
  <si>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</si>
  <si>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</si>
  <si>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</si>
  <si>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</si>
  <si>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</si>
  <si>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</si>
  <si>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</si>
  <si>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</si>
  <si>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</si>
  <si>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</si>
  <si>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</si>
  <si>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</si>
  <si>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</si>
  <si>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</si>
  <si>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</si>
  <si>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</si>
  <si>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</si>
  <si>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</si>
  <si>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</si>
  <si>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</si>
  <si>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</si>
  <si>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</si>
  <si>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</si>
  <si>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</si>
  <si>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</si>
  <si>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</si>
  <si>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</si>
  <si>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</si>
  <si>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</si>
  <si>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</si>
  <si>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</si>
  <si>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</si>
  <si>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</si>
  <si>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</si>
  <si>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</si>
  <si>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</si>
  <si>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</si>
  <si>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</si>
  <si>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</si>
  <si>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</si>
  <si>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</si>
  <si>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</si>
  <si>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</si>
  <si>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</si>
  <si>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</si>
  <si>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</si>
  <si>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</si>
  <si>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</si>
  <si>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</si>
  <si>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</si>
  <si>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</si>
  <si>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</si>
  <si>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</si>
  <si>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</si>
  <si>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</si>
  <si>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</si>
  <si>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</si>
  <si>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</si>
  <si>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</si>
  <si>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</si>
  <si>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</si>
  <si>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</si>
  <si>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</si>
  <si>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</si>
  <si>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</si>
  <si>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</si>
  <si>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</si>
  <si>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</si>
  <si>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</si>
  <si>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</si>
  <si>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</si>
  <si>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</si>
  <si>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</si>
  <si>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</si>
  <si>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</si>
  <si>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</si>
  <si>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</si>
  <si>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</si>
  <si>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</si>
  <si>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</si>
  <si>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</si>
  <si>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</si>
  <si>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</si>
  <si>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</si>
  <si>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</si>
  <si>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</si>
  <si>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</si>
  <si>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</si>
  <si>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</si>
  <si>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</si>
  <si>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</si>
  <si>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</si>
  <si>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</si>
  <si>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</si>
  <si>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</si>
  <si>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</si>
  <si>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</si>
  <si>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</si>
  <si>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</si>
  <si>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</si>
  <si>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</si>
  <si>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</si>
  <si>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</si>
  <si>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</si>
  <si>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</si>
  <si>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</si>
  <si>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</si>
  <si>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</si>
  <si>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</si>
  <si>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</si>
  <si>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</si>
  <si>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</si>
  <si>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</si>
  <si>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</si>
  <si>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</si>
  <si>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</si>
  <si>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</si>
  <si>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</si>
  <si>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</si>
  <si>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</si>
  <si>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</si>
  <si>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</si>
  <si>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</si>
  <si>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</si>
  <si>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</si>
  <si>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</si>
  <si>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</si>
  <si>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</si>
  <si>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</si>
  <si>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</si>
  <si>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</si>
  <si>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</si>
  <si>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</si>
  <si>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</si>
  <si>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</si>
  <si>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</si>
  <si>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</si>
  <si>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</si>
  <si>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</si>
  <si>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</si>
  <si>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</si>
  <si>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</si>
  <si>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</si>
  <si>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</si>
  <si>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</si>
  <si>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</si>
  <si>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</si>
  <si>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</si>
  <si>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</si>
  <si>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</si>
  <si>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</si>
  <si>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</si>
  <si>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</si>
  <si>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</si>
  <si>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</si>
  <si>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</si>
  <si>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</si>
  <si>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</si>
  <si>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</si>
  <si>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</si>
  <si>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</si>
  <si>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</si>
  <si>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</si>
  <si>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</si>
  <si>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</si>
  <si>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</si>
  <si>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</si>
  <si>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</si>
  <si>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</si>
  <si>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</si>
  <si>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</si>
  <si>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</si>
  <si>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</si>
  <si>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</si>
  <si>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</si>
  <si>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</si>
  <si>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</si>
  <si>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</si>
  <si>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</si>
  <si>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</si>
  <si>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</si>
  <si>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</si>
  <si>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</si>
  <si>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</si>
  <si>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</si>
  <si>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</si>
  <si>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</si>
  <si>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</si>
  <si>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</si>
  <si>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</si>
  <si>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</si>
  <si>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</si>
  <si>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</si>
  <si>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</si>
  <si>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</si>
  <si>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</si>
  <si>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</si>
  <si>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</si>
  <si>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</si>
  <si>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</si>
  <si>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</si>
  <si>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</si>
  <si>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</si>
  <si>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</si>
  <si>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</si>
  <si>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</si>
  <si>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</si>
  <si>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</si>
  <si>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</si>
  <si>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</si>
  <si>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</si>
  <si>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</si>
  <si>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</si>
  <si>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</si>
  <si>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</si>
  <si>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</si>
  <si>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</si>
  <si>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</si>
  <si>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</si>
  <si>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</si>
  <si>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</si>
  <si>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</si>
  <si>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</si>
  <si>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</si>
  <si>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</si>
  <si>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</si>
  <si>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</si>
  <si>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</si>
  <si>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</si>
  <si>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</si>
  <si>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</si>
  <si>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</si>
  <si>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</si>
  <si>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</si>
  <si>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</si>
  <si>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</si>
  <si>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</si>
  <si>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</si>
  <si>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</si>
  <si>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</si>
  <si>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</si>
  <si>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</si>
  <si>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</si>
  <si>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</si>
  <si>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</si>
  <si>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</si>
  <si>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</si>
  <si>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</si>
  <si>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</si>
  <si>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</si>
  <si>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</si>
  <si>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</si>
  <si>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</si>
  <si>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</si>
  <si>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</si>
  <si>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</si>
  <si>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</si>
  <si>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</si>
  <si>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</si>
  <si>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</si>
  <si>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</si>
  <si>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</si>
  <si>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</si>
  <si>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</si>
  <si>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</si>
  <si>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</si>
  <si>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</si>
  <si>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</si>
  <si>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</si>
  <si>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</si>
  <si>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</si>
  <si>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</si>
  <si>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</si>
  <si>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</si>
  <si>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</si>
  <si>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</si>
  <si>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</si>
  <si>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</si>
  <si>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</si>
  <si>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</si>
  <si>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</si>
  <si>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</si>
  <si>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</si>
  <si>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</si>
  <si>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</si>
  <si>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</si>
  <si>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</si>
  <si>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</si>
  <si>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</si>
  <si>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</si>
  <si>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</si>
  <si>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</si>
  <si>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</si>
  <si>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</si>
  <si>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</si>
  <si>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</si>
  <si>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</si>
  <si>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</si>
  <si>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</si>
  <si>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</si>
  <si>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</si>
  <si>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</si>
  <si>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</si>
  <si>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</si>
  <si>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</si>
  <si>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</si>
  <si>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</si>
  <si>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</si>
  <si>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</si>
  <si>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</si>
  <si>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</si>
  <si>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</si>
  <si>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</si>
  <si>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</si>
  <si>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</si>
  <si>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</si>
  <si>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</si>
  <si>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</si>
  <si>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</si>
  <si>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</si>
  <si>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</si>
  <si>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</si>
  <si>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</si>
  <si>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</si>
  <si>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</si>
  <si>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</si>
  <si>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</si>
  <si>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</si>
  <si>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</si>
  <si>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</si>
  <si>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</si>
  <si>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</si>
  <si>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</si>
  <si>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</si>
  <si>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</si>
  <si>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</si>
  <si>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</si>
  <si>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</si>
  <si>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</si>
  <si>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</si>
  <si>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</si>
  <si>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</si>
  <si>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</si>
  <si>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</si>
  <si>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</si>
  <si>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</si>
  <si>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</si>
  <si>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</si>
  <si>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</si>
  <si>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</si>
  <si>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</si>
  <si>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</si>
  <si>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</si>
  <si>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</si>
  <si>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</si>
  <si>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</si>
  <si>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</si>
  <si>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</si>
  <si>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</si>
  <si>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</si>
  <si>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</si>
  <si>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</si>
  <si>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</si>
  <si>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</si>
  <si>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</si>
  <si>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</si>
  <si>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</si>
  <si>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</si>
  <si>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</si>
  <si>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</si>
  <si>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</si>
  <si>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</si>
  <si>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</si>
  <si>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</si>
  <si>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</si>
  <si>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</si>
  <si>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</si>
  <si>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</si>
  <si>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</si>
  <si>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</si>
  <si>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</si>
  <si>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</si>
  <si>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</si>
  <si>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</si>
  <si>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</si>
  <si>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</si>
  <si>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</si>
  <si>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</si>
  <si>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</si>
  <si>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</si>
  <si>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</si>
  <si>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</si>
  <si>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</si>
  <si>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</si>
  <si>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</si>
  <si>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</si>
  <si>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</si>
  <si>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</si>
  <si>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</si>
  <si>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</si>
  <si>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</si>
  <si>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</si>
  <si>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</si>
  <si>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</si>
  <si>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</si>
  <si>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</si>
  <si>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</si>
  <si>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</si>
  <si>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</si>
  <si>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</si>
  <si>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</si>
  <si>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</si>
  <si>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</si>
  <si>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</si>
  <si>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</si>
  <si>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</si>
  <si>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</si>
  <si>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</si>
  <si>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</si>
  <si>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</si>
  <si>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</si>
  <si>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</si>
  <si>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</si>
  <si>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</si>
  <si>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</si>
  <si>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</si>
  <si>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</si>
  <si>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</si>
  <si>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</si>
  <si>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</si>
  <si>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</si>
  <si>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</si>
  <si>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</si>
  <si>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</si>
  <si>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</si>
  <si>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</si>
  <si>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</si>
  <si>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</si>
  <si>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</si>
  <si>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</si>
  <si>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</si>
  <si>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</si>
  <si>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</si>
  <si>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</si>
  <si>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</si>
  <si>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</si>
  <si>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</si>
  <si>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</si>
  <si>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</si>
  <si>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</si>
  <si>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</si>
  <si>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</si>
  <si>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</si>
  <si>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</si>
  <si>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</si>
  <si>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</si>
  <si>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</si>
  <si>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</si>
  <si>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</si>
  <si>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</si>
  <si>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</si>
  <si>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</si>
  <si>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</si>
  <si>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</si>
  <si>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</si>
  <si>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</si>
  <si>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</si>
  <si>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</si>
  <si>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</si>
  <si>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</si>
  <si>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</si>
  <si>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</si>
  <si>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</si>
  <si>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</si>
  <si>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</si>
  <si>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</si>
  <si>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</si>
  <si>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</si>
  <si>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</si>
  <si>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</si>
  <si>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</si>
  <si>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</si>
  <si>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</si>
  <si>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</si>
  <si>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</si>
  <si>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</si>
  <si>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</si>
  <si>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</si>
  <si>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</si>
  <si>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</si>
  <si>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</si>
  <si>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</si>
  <si>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</si>
  <si>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</si>
  <si>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</si>
  <si>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</si>
  <si>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</si>
  <si>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</si>
  <si>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</si>
  <si>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</si>
  <si>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</si>
  <si>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</si>
  <si>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</si>
  <si>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</si>
  <si>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</si>
  <si>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</si>
  <si>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</si>
  <si>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</si>
  <si>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</si>
  <si>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</si>
  <si>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</si>
  <si>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</si>
  <si>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</si>
  <si>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</si>
  <si>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</si>
  <si>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</si>
  <si>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</si>
  <si>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</si>
  <si>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</si>
  <si>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</si>
  <si>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</si>
  <si>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</si>
  <si>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</si>
  <si>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</si>
  <si>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</si>
  <si>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</si>
  <si>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</si>
  <si>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</si>
  <si>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</si>
  <si>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</si>
  <si>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</si>
  <si>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</si>
  <si>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</si>
  <si>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</si>
  <si>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</si>
  <si>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</si>
  <si>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</si>
  <si>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</si>
  <si>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</si>
  <si>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</si>
  <si>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</si>
  <si>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</si>
  <si>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</si>
  <si>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</si>
  <si>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</si>
  <si>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</si>
  <si>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</si>
  <si>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</si>
  <si>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</si>
  <si>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</si>
  <si>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</si>
  <si>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</si>
  <si>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</si>
  <si>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</si>
  <si>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</si>
  <si>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</si>
  <si>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</si>
  <si>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</si>
  <si>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</si>
  <si>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</si>
  <si>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</si>
  <si>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</si>
  <si>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</si>
  <si>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</si>
  <si>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</si>
  <si>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</si>
  <si>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</si>
  <si>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</si>
  <si>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</si>
  <si>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</si>
  <si>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</si>
  <si>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</si>
  <si>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</si>
  <si>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</si>
  <si>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</si>
  <si>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</si>
  <si>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</si>
  <si>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</si>
  <si>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</si>
  <si>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</si>
  <si>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</si>
  <si>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</si>
  <si>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</si>
  <si>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</si>
  <si>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</si>
  <si>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</si>
  <si>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</si>
  <si>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</si>
  <si>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</si>
  <si>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</si>
  <si>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</si>
  <si>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</si>
  <si>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</si>
  <si>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</si>
  <si>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</si>
  <si>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</si>
  <si>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</si>
  <si>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</si>
  <si>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</si>
  <si>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</si>
  <si>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</si>
  <si>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</si>
  <si>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</si>
  <si>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</si>
  <si>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</si>
  <si>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</si>
  <si>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</si>
  <si>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</si>
  <si>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</si>
  <si>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</si>
  <si>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</si>
  <si>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</si>
  <si>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</si>
  <si>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</si>
  <si>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</si>
  <si>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</si>
  <si>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</si>
  <si>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</si>
  <si>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</si>
  <si>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</si>
  <si>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</si>
  <si>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</si>
  <si>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</si>
  <si>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</si>
  <si>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</si>
  <si>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</si>
  <si>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</si>
  <si>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</si>
  <si>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</si>
  <si>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</si>
  <si>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</si>
  <si>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</si>
  <si>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</si>
  <si>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</si>
  <si>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</si>
  <si>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</si>
  <si>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</si>
  <si>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</si>
  <si>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</si>
  <si>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</si>
  <si>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</si>
  <si>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</si>
  <si>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</si>
  <si>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</si>
  <si>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</si>
  <si>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</si>
  <si>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</si>
  <si>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</si>
  <si>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</si>
  <si>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</si>
  <si>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</si>
  <si>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</si>
  <si>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</si>
  <si>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</si>
  <si>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</si>
  <si>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</si>
  <si>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</si>
  <si>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</si>
  <si>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</si>
  <si>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</si>
  <si>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</si>
  <si>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</si>
  <si>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</si>
  <si>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</si>
  <si>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</si>
  <si>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</si>
  <si>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</si>
  <si>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</si>
  <si>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</si>
  <si>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</si>
  <si>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</si>
  <si>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</si>
  <si>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</si>
  <si>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</si>
  <si>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</si>
  <si>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</si>
  <si>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</si>
  <si>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</si>
  <si>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</si>
  <si>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</si>
  <si>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</si>
  <si>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</si>
  <si>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</si>
  <si>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</si>
  <si>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</si>
  <si>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</si>
  <si>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</si>
  <si>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</si>
  <si>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</si>
  <si>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</si>
  <si>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</si>
  <si>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</si>
  <si>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</si>
  <si>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</si>
  <si>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</si>
  <si>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</si>
  <si>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</si>
  <si>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</si>
  <si>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</si>
  <si>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</si>
  <si>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</si>
  <si>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</si>
  <si>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</si>
  <si>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</si>
  <si>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</si>
  <si>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</si>
  <si>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</si>
  <si>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</si>
  <si>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</si>
  <si>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</si>
  <si>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</si>
  <si>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</si>
  <si>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</si>
  <si>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</si>
  <si>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</si>
  <si>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</si>
  <si>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</si>
  <si>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</si>
  <si>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</si>
  <si>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</si>
  <si>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</si>
  <si>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</si>
  <si>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</si>
  <si>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</si>
  <si>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</si>
  <si>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</si>
  <si>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</si>
  <si>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</si>
  <si>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</si>
  <si>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</si>
  <si>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</si>
  <si>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</si>
  <si>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</si>
  <si>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</si>
  <si>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</si>
  <si>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</si>
  <si>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</si>
  <si>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</si>
  <si>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</si>
  <si>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</si>
  <si>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</si>
  <si>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</si>
  <si>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</si>
  <si>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</si>
  <si>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</si>
  <si>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</si>
  <si>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</si>
  <si>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</si>
  <si>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</si>
  <si>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</si>
  <si>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</si>
  <si>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</si>
  <si>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</si>
  <si>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</si>
  <si>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</si>
  <si>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</si>
  <si>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</si>
  <si>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</si>
  <si>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</si>
  <si>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</si>
  <si>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</si>
  <si>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</si>
  <si>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</si>
  <si>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</si>
  <si>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</si>
  <si>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</si>
  <si>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</si>
  <si>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</si>
  <si>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</si>
  <si>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</si>
  <si>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</si>
  <si>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</si>
  <si>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</si>
  <si>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</si>
  <si>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</si>
  <si>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</si>
  <si>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</si>
  <si>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</si>
  <si>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</si>
  <si>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</si>
  <si>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</si>
  <si>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</si>
  <si>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</si>
  <si>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</si>
  <si>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</si>
  <si>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</si>
  <si>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</si>
  <si>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</si>
  <si>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</si>
  <si>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</si>
  <si>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</si>
  <si>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</si>
  <si>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</si>
  <si>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</si>
  <si>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</si>
  <si>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</si>
  <si>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</si>
  <si>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</si>
  <si>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</si>
  <si>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</si>
  <si>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</si>
  <si>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</si>
  <si>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</si>
  <si>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</si>
  <si>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</si>
  <si>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</si>
  <si>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</si>
  <si>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</si>
  <si>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</si>
  <si>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</si>
  <si>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</si>
  <si>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</si>
  <si>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</si>
  <si>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</si>
  <si>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</si>
  <si>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</si>
  <si>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</si>
  <si>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</si>
  <si>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</si>
  <si>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</si>
  <si>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</si>
  <si>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</si>
  <si>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</si>
  <si>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</si>
  <si>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</si>
  <si>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</si>
  <si>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</si>
  <si>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</si>
  <si>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</si>
  <si>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</si>
  <si>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</si>
  <si>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</si>
  <si>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</si>
  <si>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</si>
  <si>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</si>
  <si>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</si>
  <si>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</si>
  <si>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</si>
  <si>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</si>
  <si>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</si>
  <si>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</si>
  <si>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</si>
  <si>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</si>
  <si>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</si>
  <si>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</si>
  <si>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</si>
  <si>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</si>
  <si>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</si>
  <si>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</si>
  <si>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</si>
  <si>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</si>
  <si>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</si>
  <si>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</si>
  <si>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</si>
  <si>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</si>
  <si>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</si>
  <si>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</si>
  <si>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</si>
  <si>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</si>
  <si>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</si>
  <si>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</si>
  <si>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</si>
  <si>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</si>
  <si>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</si>
  <si>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</si>
  <si>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</si>
  <si>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</si>
  <si>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</si>
  <si>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</si>
  <si>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</si>
  <si>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</si>
  <si>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</si>
  <si>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</si>
  <si>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</si>
  <si>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</si>
  <si>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</si>
  <si>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</si>
  <si>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</si>
  <si>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</si>
  <si>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</si>
  <si>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</si>
  <si>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</si>
  <si>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</si>
  <si>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</si>
  <si>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</si>
  <si>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</si>
  <si>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</si>
  <si>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</si>
  <si>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</si>
  <si>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</si>
  <si>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</si>
  <si>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</si>
  <si>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</si>
  <si>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</si>
  <si>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</si>
  <si>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</si>
  <si>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</si>
  <si>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</si>
  <si>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</si>
  <si>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</si>
  <si>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</si>
  <si>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</si>
  <si>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</si>
  <si>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</si>
  <si>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</si>
  <si>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</si>
  <si>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</si>
  <si>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</si>
  <si>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</si>
  <si>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</si>
  <si>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</si>
  <si>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</si>
  <si>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</si>
  <si>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</si>
  <si>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</si>
  <si>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</si>
  <si>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</si>
  <si>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</si>
  <si>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</si>
  <si>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</si>
  <si>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</si>
  <si>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</si>
  <si>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Harwin plc</t>
  </si>
  <si>
    <t>Company</t>
  </si>
  <si>
    <t>226130680</t>
  </si>
  <si>
    <t>DUNS</t>
  </si>
  <si>
    <t>Fitzherbert Road, Farlington, Portsmouth, Hampshire. PO6 1RT. United Kingdom.</t>
  </si>
  <si>
    <t>Martin J Perry</t>
  </si>
  <si>
    <t>complianceteam@harwin.co.uk</t>
  </si>
  <si>
    <t>+44 (0)23 9231 4545</t>
  </si>
  <si>
    <t>Mark Plested</t>
  </si>
  <si>
    <t>Senior Design Engineer</t>
  </si>
  <si>
    <t>Data collected through supply chain sources was used to support source of origin determinations.</t>
  </si>
  <si>
    <t>The entries that appear on the completed CMRT Smelter List tab are the result of Assent's Smelter Validation Process. The list only displays those facilities that are verified to be legitimate smelters or refiners of 3TGs, and have been reported by at least one of Harwin's suppliers.</t>
  </si>
  <si>
    <t>https://cdn.harwin.com/pdfs/HF-337_Conflict_Minerals_Statement.pdf</t>
  </si>
  <si>
    <t>But standard Terms &amp; Conditions require suppliers to be "working towards" being conflict free.</t>
  </si>
  <si>
    <t>Germany</t>
  </si>
  <si>
    <t>Pforzheim, Baden-Württemberg, Germany</t>
  </si>
  <si>
    <t>Italy</t>
  </si>
  <si>
    <t>Arezzo, Italy</t>
  </si>
  <si>
    <t>Switzerland</t>
  </si>
  <si>
    <t>Mendrisio, Ticino, Switzerland</t>
  </si>
  <si>
    <t>China</t>
  </si>
  <si>
    <t xml:space="preserve">Shegutian Team, Xiadu Village, Qiaokou Town, Suxianqiao District, Chenzhou, Hunnan </t>
  </si>
  <si>
    <t>Indonesia</t>
  </si>
  <si>
    <t>Jl. Halmahera Dusun Sigambir, Desa Air Ruai, Kec.</t>
  </si>
  <si>
    <t>Japan</t>
  </si>
  <si>
    <t>6-15-13 Minami-cho, Fuchu-shi, Tokyo, 1830026 Japan</t>
  </si>
  <si>
    <t>Kanzlerstrasse 17, 75175 Pforzheim, Germany</t>
  </si>
  <si>
    <t>Hamburg, Germany</t>
  </si>
  <si>
    <t>Bolivia (Plurinational State Of)</t>
  </si>
  <si>
    <t>Road Oruro to Cala Cala, km 7.5, Bolivia</t>
  </si>
  <si>
    <t>Poland</t>
  </si>
  <si>
    <t>ul. Strefowa 13, 39-442 Chmielów, Poland</t>
  </si>
  <si>
    <t>Soka, Saitama, Japan</t>
  </si>
  <si>
    <t>Jijie Town</t>
  </si>
  <si>
    <t>Huhudu, Gejiu, Honghezizhizhou, Yunnan</t>
  </si>
  <si>
    <t>Canada</t>
  </si>
  <si>
    <t>Brampton, Ontario, Canada</t>
  </si>
  <si>
    <t>Ba Bao Shu Industry Park, Zha Dian Town, Gejiu City, Honghe, Yunnan Province</t>
  </si>
  <si>
    <t>United States Of America</t>
  </si>
  <si>
    <t>Magna, Utah, USA</t>
  </si>
  <si>
    <t>4100 Sixth Avenue, Altoona PA 16602</t>
  </si>
  <si>
    <t>Im Altgefall 12 D-75181 Pforzheim Germany</t>
  </si>
  <si>
    <t>Dennigstraße 16 – 75179, Pforzheim, Germany</t>
  </si>
  <si>
    <t>60-1 Otarube, Kosaka-machi, Kazuno-gun, Akita 017-0202 Japan</t>
  </si>
  <si>
    <t>Hong Kong, 香港新界粉嶺安樂村安全街30號賀利氏科技中心</t>
  </si>
  <si>
    <t>Hanau, Hessen, Germany</t>
  </si>
  <si>
    <t>Brazil</t>
  </si>
  <si>
    <t>Estrada dos Romeiros, Km 49, Bairro Guarapiranga, Pirapora do Bom Jesus City, São Paulo State, Brazil</t>
  </si>
  <si>
    <t>Peru</t>
  </si>
  <si>
    <t>Panamericana Highway, Km 238, Pisco-Ica, Perú</t>
  </si>
  <si>
    <t>Nan Kang Industrial Park, Ganzhou, Jiangxi Province, China, 341413</t>
  </si>
  <si>
    <t>Yejin Avenue, Guixi City, Jiangxi</t>
  </si>
  <si>
    <t>Korea, Republic Of</t>
  </si>
  <si>
    <t>Onsan, Republic of Korea</t>
  </si>
  <si>
    <t>337-26 Kashiwabara, Sayama City, Saitama Prefecture, 350-1335 Japan</t>
  </si>
  <si>
    <t>North Attleboro, Massachusetts, USA</t>
  </si>
  <si>
    <t>Iruma, Saitama, Japan</t>
  </si>
  <si>
    <t>2368 East Enterprise Parkway, Twinsburg, OH 44087</t>
  </si>
  <si>
    <t>Building B, 48 Dongfu Road, Suzhou Industrial Park, Jiangsu Province, P.R. China 215123</t>
  </si>
  <si>
    <t>284 Nishinokyo-cho Nara-shi Nara Japan</t>
  </si>
  <si>
    <t>Jl.Manggar Tengah RT.016B/RW.005 Kelekak Datuk , Desa Badau - Kecamatan Badau</t>
  </si>
  <si>
    <t>Thailand</t>
  </si>
  <si>
    <t>Pinthong Industrial Estate, 789/101 Moo 1, Nongkoh-Laemchabang Road, Nongkham, Sriracha, Chonburi 20230, Thailand</t>
  </si>
  <si>
    <t>Jl. Ketapang RT.19/12 Kel. Air Itam Kec. Bukit Intan Pangkal Pinang Provinsi Kepulauan Kepulauan Bangka Belitung</t>
  </si>
  <si>
    <t>Jl. Kawasan Industri Jelitik, Kec. Sungailiat, Kab., Bangka, Provinsi Kepulauan, Kepulauan Bangka Belitung , Indonesia</t>
  </si>
  <si>
    <t>Henan Industry Zone, Xinbin District, Laibin City, GuangXi Province, China</t>
  </si>
  <si>
    <t>Malaysia</t>
  </si>
  <si>
    <t>12 Jalan Pantai, 12000 Butterworth, Penang, Malaysia</t>
  </si>
  <si>
    <t>Mexico</t>
  </si>
  <si>
    <t>Torreon, Coahuila, Mexico</t>
  </si>
  <si>
    <t>Kwai Chung, Hong Kong</t>
  </si>
  <si>
    <t>Singapore City, Singapore</t>
  </si>
  <si>
    <t>RAYA TIMAH ROAD NUMBER 1 MENTOK, WEST BANGKA, BANGKA BELITUNG ISLANDS PROVINCE</t>
  </si>
  <si>
    <t>Taiwan, Province Of China</t>
  </si>
  <si>
    <t>No. 16, Gong 1st Rd., Liuying District, Tainan City, 73659 Taiwan</t>
  </si>
  <si>
    <t>Noda Factory,  19-2 Hayama Nodi-si Chiba-ken, Japan</t>
  </si>
  <si>
    <t>Jl. TPA Lingkungan Kenanga Permai Kelurahan Kenanga, Kecamatan Sungailiat, Kabupaten Bangka, Propinsi Kepulauan Kepulauan Bangka Belitung</t>
  </si>
  <si>
    <t>Hang Tuah Road No. 4 Prayun, Tanjung Balai Karimun regional,Kepulauan Riau Province</t>
  </si>
  <si>
    <t>No. 1-1, Lane 139, Gong 5th Rd., Lin 39, Wulin Village, 
Longtan Shiang Taoyuang, Taiwan</t>
  </si>
  <si>
    <t>Kuki, Saitama, Japan</t>
  </si>
  <si>
    <t>Ottawa, Canada</t>
  </si>
  <si>
    <t>Laizhou, Yantai Prefecture, Shandong Province, China</t>
  </si>
  <si>
    <t>Hiratsuka, Japan</t>
  </si>
  <si>
    <t>Thailand Smelting and Refining Co. Ltd.
80 Moo 8, Sakdidej Road, T. Vichit, A. Muang, 
Phuket 83000, THAILAND</t>
  </si>
  <si>
    <t>Kawasan Industri san Pelabuhan Jelitik Sunailiat, Kepulauan Bangka Belitung Province</t>
  </si>
  <si>
    <t>Marin, Neuchâtel, Switzerland</t>
  </si>
  <si>
    <t>Marunouchi Nijubashi Building 3-2-3, Marunouchi, Chiyoda-ku, Tokyo 100-8117, Japan</t>
  </si>
  <si>
    <t>Operaciones Metalúrgicas SA Km. 3.5 Carretera a Capachos, Zona Industrial Huajara, Oruro, Bolivia</t>
  </si>
  <si>
    <t>Belgium</t>
  </si>
  <si>
    <t>Hoboken, Belgium</t>
  </si>
  <si>
    <t>Highway BR 421, KM 1,1 – Ariquemes – Rondonia - Brazil</t>
  </si>
  <si>
    <t>Philippines</t>
  </si>
  <si>
    <t>Phase 3 Block 15-A Lot 1, Cavite Economic Zone, 4106 Rosario Cavite, Philippines</t>
  </si>
  <si>
    <t>Spain</t>
  </si>
  <si>
    <t>Barrio Arene, 20 - 48640 Berango Vizcaya, Spain</t>
  </si>
  <si>
    <t>Austria</t>
  </si>
  <si>
    <t>Liesinger Flur-Gasse 4, 1230 Vienna, Austria</t>
  </si>
  <si>
    <t>Komplek Industri dan Pelabuhan Air Kantung, Jelitik Kecamatan Sungailiat, Kabupaten Bangka, Propinsi Kepulauan Bangka Belitung</t>
  </si>
  <si>
    <t>Zhaoyuan City</t>
  </si>
  <si>
    <t>云南省个旧市中山路73-1号2幢301室, 301, Building 2, 73-1, Zhongshan Road, Gejiu, Yunnan, China</t>
  </si>
  <si>
    <t>Datun, Gejiu City, Yunnan, China P.R.</t>
  </si>
  <si>
    <t>No. 1 Smelting Road, Jinhu West Road, Gejiu Yunnan, China</t>
  </si>
  <si>
    <t>Toyo, Saijo, Japan</t>
  </si>
  <si>
    <t>Nieuwe Dreef 33, Beerse, Belgium</t>
  </si>
  <si>
    <t>Jl.Ketapang, Kawasan Industri, Kota Pangkalpinang</t>
  </si>
  <si>
    <t>Concentration area, Xinshi Industrial Park, Bowang District, Ma'anshan City, Anhui Province</t>
  </si>
  <si>
    <t>Viet Nam</t>
  </si>
  <si>
    <t>3/2 Street, Thai Nguyen, Thai Nguyen</t>
  </si>
  <si>
    <t>Wugong Longshan Laohu Guxiang Village 1, Chaoan Zone of Chaozhou, Guangdong</t>
  </si>
  <si>
    <t>Desa Pasir Putih, Kecamatan Tukak Sadai, Kabupaten Bangka Selatan, Bangka Belitung</t>
  </si>
  <si>
    <t>Schwenninger Straße 13, 75119 Pforzheim</t>
  </si>
  <si>
    <t>Dusun Padang RT07, Desa Mentawak, Kecamatan Kelapa Kampit, Provinsi Kepulauan Kepulauan Bangka Belitung, Indonesia</t>
  </si>
  <si>
    <t>905 Fern Hill Road, West Chester, PA 19380</t>
  </si>
  <si>
    <t>Rwanda</t>
  </si>
  <si>
    <t>Karuruma-Jabana, Kigali, Rwanda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</si>
</sst>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4" fillId="0" borderId="0" xfId="0" applyFont="1"/>
    <xf numFmtId="16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team@harwin.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harwin.com/pdfs/HF-337_Conflict_Minerals_Statement.pdf" TargetMode="External"/><Relationship Id="rId4" Type="http://schemas.openxmlformats.org/officeDocument/2006/relationships/hyperlink" Target="mailto:complianceteam@harwin.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80">
        <v>2.0299999999999998</v>
      </c>
      <c r="C22" s="380" t="s">
        <v>822</v>
      </c>
      <c r="D22" s="359" t="s">
        <v>2265</v>
      </c>
      <c r="E22" s="362" t="s">
        <v>437</v>
      </c>
      <c r="F22" s="188" t="s">
        <v>460</v>
      </c>
      <c r="G22" s="31"/>
    </row>
    <row r="23" spans="1:7" ht="109.5" customHeight="1">
      <c r="A23" s="365"/>
      <c r="B23" s="381"/>
      <c r="C23" s="381"/>
      <c r="D23" s="360"/>
      <c r="E23" s="363"/>
      <c r="F23" s="189" t="s">
        <v>823</v>
      </c>
      <c r="G23" s="31"/>
    </row>
    <row r="24" spans="1:7" ht="74.25" customHeight="1">
      <c r="A24" s="365"/>
      <c r="B24" s="382"/>
      <c r="C24" s="382"/>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624017B-FE7A-401C-A1F6-FFD97E321D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B0C35C7-038C-4BAE-A9ED-4AF78949889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3"/>
      <c r="B1" s="384"/>
      <c r="C1" s="384"/>
      <c r="D1" s="385"/>
    </row>
    <row r="2" spans="1:5" ht="71.25" customHeight="1">
      <c r="A2" s="84"/>
      <c r="B2" s="159" t="str">
        <f ca="1">OFFSET(L!$C$1,MATCH("Definitions"&amp;ADDRESS(ROW(),COLUMN(),4),L!$A:$A,0)-1,SL,,)</f>
        <v>ITEM</v>
      </c>
      <c r="C2" s="159" t="str">
        <f ca="1">OFFSET(L!$C$1,MATCH("Definitions"&amp;ADDRESS(ROW(),COLUMN(),4),L!$A:$A,0)-1,SL,,)</f>
        <v>DEFINITION</v>
      </c>
      <c r="D2" s="387"/>
      <c r="E2" s="121"/>
    </row>
    <row r="3" spans="1:5" ht="64.150000000000006" customHeight="1">
      <c r="A3" s="84"/>
      <c r="B3" s="71" t="str">
        <f ca="1">OFFSET(L!$C$1,MATCH("Definitions"&amp;ADDRESS(ROW(),COLUMN(),4),L!$A:$A,0)-1,SL,,)</f>
        <v>3TG</v>
      </c>
      <c r="C3" s="71" t="str">
        <f ca="1">OFFSET(L!$C$1,MATCH("Definitions"&amp;ADDRESS(ROW(),COLUMN(),4),L!$A:$A,0)-1,SL,,)</f>
        <v>Tantalum, tin, tungsten, gold</v>
      </c>
      <c r="D3" s="387"/>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7"/>
      <c r="E9" s="122" t="s">
        <v>1313</v>
      </c>
    </row>
    <row r="10" spans="1:5" ht="45">
      <c r="A10" s="84"/>
      <c r="B10" s="71" t="str">
        <f ca="1">OFFSET(L!$C$1,MATCH("Definitions"&amp;ADDRESS(ROW(),COLUMN(),4),L!$A:$A,0)-1,SL,,)</f>
        <v>DRC</v>
      </c>
      <c r="C10" s="71" t="str">
        <f ca="1">OFFSET(L!$C$1,MATCH("Definitions"&amp;ADDRESS(ROW(),COLUMN(),4),L!$A:$A,0)-1,SL,,)</f>
        <v>Democratic Republic of Congo</v>
      </c>
      <c r="D10" s="387"/>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7"/>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7"/>
      <c r="E20" s="122"/>
    </row>
    <row r="21" spans="1:5" ht="15">
      <c r="A21" s="84"/>
      <c r="B21" s="71" t="str">
        <f ca="1">OFFSET(L!$C$1,MATCH("Definitions"&amp;ADDRESS(ROW(),COLUMN(),4),L!$A:$A,0)-1,SL,,)</f>
        <v>RBA</v>
      </c>
      <c r="C21" s="71" t="str">
        <f ca="1">OFFSET(L!$C$1,MATCH("Definitions"&amp;ADDRESS(ROW(),COLUMN(),4),L!$A:$A,0)-1,SL,,)</f>
        <v>Responsible Business Alliance (www.responsiblebusiness.org)</v>
      </c>
      <c r="D21" s="387"/>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7"/>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2"/>
    </row>
    <row r="32" spans="1:5" ht="15">
      <c r="A32" s="84"/>
      <c r="B32" s="386" t="str">
        <f ca="1">OFFSET(L!$C$1,MATCH("General"&amp;"Cpy",L!$A:$A,0)-1,SL,,)</f>
        <v>© 2022 Responsible Minerals Initiative. All rights reserved.</v>
      </c>
      <c r="C32" s="386"/>
      <c r="D32" s="387"/>
      <c r="E32" s="122"/>
    </row>
    <row r="33" spans="1:4" ht="13.5" thickBot="1">
      <c r="A33" s="85"/>
      <c r="B33" s="176"/>
      <c r="C33" s="176"/>
      <c r="D33" s="388"/>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8"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3"/>
      <c r="B1" s="424"/>
      <c r="C1" s="424"/>
      <c r="D1" s="424"/>
      <c r="E1" s="424"/>
      <c r="F1" s="424"/>
      <c r="G1" s="424"/>
      <c r="H1" s="424"/>
      <c r="I1" s="424"/>
      <c r="J1" s="424"/>
      <c r="K1" s="42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6" t="str">
        <f ca="1">OFFSET(L!$C$1,MATCH("Declaration"&amp;ADDRESS(ROW(),COLUMN(),4),L!$A:$A,0)-1,SL,,)</f>
        <v>Conflict Minerals Reporting Template (CMRT)</v>
      </c>
      <c r="E2" s="427"/>
      <c r="F2" s="427"/>
      <c r="G2" s="427"/>
      <c r="H2" s="427"/>
      <c r="I2" s="427"/>
      <c r="J2" s="42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6"/>
      <c r="G3" s="436"/>
      <c r="H3" s="436"/>
      <c r="I3" s="175"/>
      <c r="J3" s="160" t="s">
        <v>15654</v>
      </c>
      <c r="K3" s="44"/>
      <c r="L3" s="133"/>
      <c r="M3" s="124"/>
      <c r="N3" s="124"/>
      <c r="O3" s="125"/>
      <c r="P3" s="138">
        <f>MATCH($D$3,LN,0)</f>
        <v>1</v>
      </c>
    </row>
    <row r="4" spans="1:34" ht="15.75">
      <c r="A4" s="42"/>
      <c r="B4" s="432" t="str">
        <f ca="1">OFFSET(L!$C$1,MATCH("Declaration"&amp;ADDRESS(ROW(),COLUMN(),4),L!$A:$A,0)-1,SL,,)</f>
        <v>The purpose of this document is to collect sourcing information on tin, tantalum, tungsten and gold used in products</v>
      </c>
      <c r="C4" s="432"/>
      <c r="D4" s="432"/>
      <c r="E4" s="432"/>
      <c r="F4" s="432"/>
      <c r="G4" s="432"/>
      <c r="H4" s="432"/>
      <c r="I4" s="437" t="str">
        <f ca="1">OFFSET(L!$C$1,MATCH("Declaration"&amp;ADDRESS(ROW(),COLUMN(),4),L!$A:$A,0)-1,SL,,)</f>
        <v>Link to Terms &amp; Conditions</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2" t="str">
        <f ca="1">OFFSET(L!$C$1,MATCH("Declaration"&amp;ADDRESS(ROW(),COLUMN(),4),L!$A:$A,0)-1,SL,,)</f>
        <v>Mandatory fields are noted with an asterisk (*).  Consult the instructions tab for guidance on how to answer each question.</v>
      </c>
      <c r="C6" s="432"/>
      <c r="D6" s="432"/>
      <c r="E6" s="432"/>
      <c r="F6" s="432"/>
      <c r="G6" s="432"/>
      <c r="H6" s="432"/>
      <c r="I6" s="432"/>
      <c r="J6" s="43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1" t="str">
        <f ca="1">OFFSET(L!$C$1,MATCH("Declaration"&amp;ADDRESS(ROW(),COLUMN(),4),L!$A:$A,0)-1,SL,,)</f>
        <v>Company Information</v>
      </c>
      <c r="C7" s="441"/>
      <c r="D7" s="441"/>
      <c r="E7" s="441"/>
      <c r="F7" s="441"/>
      <c r="G7" s="441"/>
      <c r="H7" s="441"/>
      <c r="I7" s="441"/>
      <c r="J7" s="44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9" t="s">
        <v>15655</v>
      </c>
      <c r="E8" s="430"/>
      <c r="F8" s="430"/>
      <c r="G8" s="430"/>
      <c r="H8" s="430"/>
      <c r="I8" s="430"/>
      <c r="J8" s="43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8" t="s">
        <v>494</v>
      </c>
      <c r="E9" s="439"/>
      <c r="F9" s="439"/>
      <c r="G9" s="44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2" t="str">
        <f ca="1">OFFSET(L!$C$1,MATCH("Declaration"&amp;ADDRESS(ROW(),COLUMN(),4)&amp;LEFT($D$9,1),L!$A:$A,0)-1,SL,,)</f>
        <v>Description of Scope:</v>
      </c>
      <c r="C10" s="144"/>
      <c r="D10" s="433" t="s">
        <v>15656</v>
      </c>
      <c r="E10" s="434"/>
      <c r="F10" s="434"/>
      <c r="G10" s="434"/>
      <c r="H10" s="434"/>
      <c r="I10" s="434"/>
      <c r="J10" s="43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3"/>
      <c r="C11" s="144"/>
      <c r="D11" s="408" t="str">
        <f ca="1">IF(D9=Q9,OFFSET(L!$C$1,MATCH("Declaration"&amp;ADDRESS(ROW(),COLUMN(),4),L!$A:$A,0)-1,SL,,),"")</f>
        <v/>
      </c>
      <c r="E11" s="409"/>
      <c r="F11" s="409"/>
      <c r="G11" s="409"/>
      <c r="H11" s="409"/>
      <c r="I11" s="409"/>
      <c r="J11" s="41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6" t="s">
        <v>15657</v>
      </c>
      <c r="E12" s="417"/>
      <c r="F12" s="417"/>
      <c r="G12" s="417"/>
      <c r="H12" s="417"/>
      <c r="I12" s="417"/>
      <c r="J12" s="41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6" t="s">
        <v>15658</v>
      </c>
      <c r="E13" s="417"/>
      <c r="F13" s="417"/>
      <c r="G13" s="417"/>
      <c r="H13" s="417"/>
      <c r="I13" s="417"/>
      <c r="J13" s="41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6" t="s">
        <v>15659</v>
      </c>
      <c r="E14" s="417"/>
      <c r="F14" s="417"/>
      <c r="G14" s="417"/>
      <c r="H14" s="417"/>
      <c r="I14" s="417"/>
      <c r="J14" s="41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6" t="s">
        <v>15660</v>
      </c>
      <c r="E15" s="417"/>
      <c r="F15" s="417"/>
      <c r="G15" s="417"/>
      <c r="H15" s="417"/>
      <c r="I15" s="417"/>
      <c r="J15" s="41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4" t="s">
        <v>15661</v>
      </c>
      <c r="E16" s="445"/>
      <c r="F16" s="445"/>
      <c r="G16" s="445"/>
      <c r="H16" s="445"/>
      <c r="I16" s="445"/>
      <c r="J16" s="44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6" t="s">
        <v>15662</v>
      </c>
      <c r="E17" s="417"/>
      <c r="F17" s="417"/>
      <c r="G17" s="417"/>
      <c r="H17" s="417"/>
      <c r="I17" s="417"/>
      <c r="J17" s="41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9" t="s">
        <v>15663</v>
      </c>
      <c r="E18" s="390"/>
      <c r="F18" s="390"/>
      <c r="G18" s="390"/>
      <c r="H18" s="390"/>
      <c r="I18" s="390"/>
      <c r="J18" s="391"/>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6" t="s">
        <v>15664</v>
      </c>
      <c r="E19" s="417"/>
      <c r="F19" s="417"/>
      <c r="G19" s="417"/>
      <c r="H19" s="417"/>
      <c r="I19" s="417"/>
      <c r="J19" s="41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4" t="s">
        <v>15661</v>
      </c>
      <c r="E20" s="445"/>
      <c r="F20" s="445"/>
      <c r="G20" s="445"/>
      <c r="H20" s="445"/>
      <c r="I20" s="445"/>
      <c r="J20" s="44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6" t="s">
        <v>15662</v>
      </c>
      <c r="E21" s="417"/>
      <c r="F21" s="417"/>
      <c r="G21" s="417"/>
      <c r="H21" s="417"/>
      <c r="I21" s="417"/>
      <c r="J21" s="41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44705</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9"/>
      <c r="E23" s="41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2" t="s">
        <v>489</v>
      </c>
      <c r="E26" s="393"/>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2" t="s">
        <v>488</v>
      </c>
      <c r="E27" s="393"/>
      <c r="F27" s="15"/>
      <c r="G27" s="394"/>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2" t="s">
        <v>488</v>
      </c>
      <c r="E28" s="393"/>
      <c r="F28" s="15"/>
      <c r="G28" s="394"/>
      <c r="H28" s="395"/>
      <c r="I28" s="395"/>
      <c r="J28" s="396"/>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2" t="s">
        <v>489</v>
      </c>
      <c r="E29" s="393"/>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1" t="str">
        <f ca="1">D25</f>
        <v>Answer</v>
      </c>
      <c r="E31" s="401"/>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11"/>
      <c r="E32" s="412"/>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2" t="s">
        <v>488</v>
      </c>
      <c r="E33" s="393"/>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2" t="s">
        <v>488</v>
      </c>
      <c r="E34" s="393"/>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2"/>
      <c r="E35" s="393"/>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1" t="str">
        <f ca="1">D25</f>
        <v>Answer</v>
      </c>
      <c r="E37" s="401"/>
      <c r="F37" s="21"/>
      <c r="G37" s="52" t="str">
        <f ca="1">G25</f>
        <v>Comments</v>
      </c>
      <c r="H37" s="415"/>
      <c r="I37" s="415"/>
      <c r="J37" s="415"/>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2"/>
      <c r="E38" s="393"/>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2" t="s">
        <v>488</v>
      </c>
      <c r="E39" s="393"/>
      <c r="F39" s="55"/>
      <c r="G39" s="394" t="s">
        <v>15665</v>
      </c>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2" t="s">
        <v>488</v>
      </c>
      <c r="E40" s="393"/>
      <c r="F40" s="55"/>
      <c r="G40" s="394" t="s">
        <v>15665</v>
      </c>
      <c r="H40" s="395"/>
      <c r="I40" s="395"/>
      <c r="J40" s="396"/>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2"/>
      <c r="E41" s="393"/>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1" t="str">
        <f ca="1">D25</f>
        <v>Answer</v>
      </c>
      <c r="E43" s="401"/>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2"/>
      <c r="E44" s="393"/>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2" t="s">
        <v>488</v>
      </c>
      <c r="E45" s="393"/>
      <c r="F45" s="55"/>
      <c r="G45" s="394" t="s">
        <v>15665</v>
      </c>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2" t="s">
        <v>488</v>
      </c>
      <c r="E46" s="393"/>
      <c r="F46" s="55"/>
      <c r="G46" s="394" t="s">
        <v>15665</v>
      </c>
      <c r="H46" s="395"/>
      <c r="I46" s="395"/>
      <c r="J46" s="396"/>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2"/>
      <c r="E47" s="393"/>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2"/>
      <c r="E50" s="393"/>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2" t="s">
        <v>489</v>
      </c>
      <c r="E51" s="393"/>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2" t="s">
        <v>489</v>
      </c>
      <c r="E52" s="393"/>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2"/>
      <c r="E53" s="393"/>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1" t="str">
        <f ca="1">D25</f>
        <v>Answer</v>
      </c>
      <c r="E55" s="40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3"/>
      <c r="E56" s="414"/>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3">
        <v>1</v>
      </c>
      <c r="E57" s="414"/>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3">
        <v>1</v>
      </c>
      <c r="E58" s="414"/>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3"/>
      <c r="E59" s="414"/>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1" t="str">
        <f ca="1">D25</f>
        <v>Answer</v>
      </c>
      <c r="E61" s="401"/>
      <c r="F61" s="21"/>
      <c r="G61" s="52" t="str">
        <f ca="1">G25</f>
        <v>Comments</v>
      </c>
      <c r="H61" s="398"/>
      <c r="I61" s="398"/>
      <c r="J61" s="39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11"/>
      <c r="E62" s="412"/>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2" t="s">
        <v>488</v>
      </c>
      <c r="E63" s="393"/>
      <c r="F63" s="55"/>
      <c r="G63" s="394" t="s">
        <v>15666</v>
      </c>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ustomHeight="1">
      <c r="A64" s="49"/>
      <c r="B64" s="48" t="str">
        <f ca="1">B40</f>
        <v>Gold  (*)</v>
      </c>
      <c r="C64" s="13"/>
      <c r="D64" s="392" t="s">
        <v>488</v>
      </c>
      <c r="E64" s="393"/>
      <c r="F64" s="55"/>
      <c r="G64" s="394" t="s">
        <v>15666</v>
      </c>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2"/>
      <c r="E65" s="393"/>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1" t="str">
        <f ca="1">D25</f>
        <v>Answer</v>
      </c>
      <c r="E67" s="401"/>
      <c r="F67" s="21"/>
      <c r="G67" s="52" t="str">
        <f ca="1">G25</f>
        <v>Comments</v>
      </c>
      <c r="H67" s="398" t="str">
        <f>IF(Q75="(*)","Click here to enter smelter names","")</f>
        <v/>
      </c>
      <c r="I67" s="398"/>
      <c r="J67" s="39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2"/>
      <c r="E68" s="393"/>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2" t="s">
        <v>488</v>
      </c>
      <c r="E69" s="393"/>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2" t="s">
        <v>488</v>
      </c>
      <c r="E70" s="393"/>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2"/>
      <c r="E71" s="393"/>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7" t="str">
        <f ca="1">OFFSET(L!$C$1,MATCH("Declaration"&amp;ADDRESS(ROW(),COLUMN(),4),L!$A:$A,0)-1,SL,,)</f>
        <v>Answer the Following Questions at a Company Level</v>
      </c>
      <c r="C73" s="397"/>
      <c r="D73" s="397"/>
      <c r="E73" s="397"/>
      <c r="F73" s="397"/>
      <c r="G73" s="397"/>
      <c r="H73" s="397"/>
      <c r="I73" s="397"/>
      <c r="J73" s="39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2" t="s">
        <v>488</v>
      </c>
      <c r="E75" s="393"/>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0"/>
      <c r="H76" s="400"/>
      <c r="I76" s="400"/>
      <c r="J76" s="40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2" t="s">
        <v>488</v>
      </c>
      <c r="E77" s="393"/>
      <c r="F77" s="65"/>
      <c r="G77" s="420" t="s">
        <v>15667</v>
      </c>
      <c r="H77" s="421"/>
      <c r="I77" s="421"/>
      <c r="J77" s="42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2" t="s">
        <v>489</v>
      </c>
      <c r="E79" s="393"/>
      <c r="F79" s="65"/>
      <c r="G79" s="394" t="s">
        <v>15668</v>
      </c>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2" t="s">
        <v>488</v>
      </c>
      <c r="E81" s="393"/>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2" t="s">
        <v>15082</v>
      </c>
      <c r="E83" s="393"/>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5" t="s">
        <v>488</v>
      </c>
      <c r="E85" s="406"/>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0"/>
      <c r="H86" s="400"/>
      <c r="I86" s="400"/>
      <c r="J86" s="40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2" t="s">
        <v>489</v>
      </c>
      <c r="E87" s="393"/>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7"/>
      <c r="H88" s="407"/>
      <c r="I88" s="407"/>
      <c r="J88" s="40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2" t="s">
        <v>489</v>
      </c>
      <c r="E89" s="393"/>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4" t="str">
        <f>IF(OR($D$8="",$I$3=""),"","Click here to check required fields completion")</f>
        <v/>
      </c>
      <c r="C90" s="404"/>
      <c r="D90" s="404"/>
      <c r="E90" s="404"/>
      <c r="F90" s="404"/>
      <c r="G90" s="404"/>
      <c r="H90" s="404"/>
      <c r="I90" s="404"/>
      <c r="J90" s="40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2" t="str">
        <f ca="1">OFFSET(L!$C$1,MATCH("General"&amp;"Cpy",L!$A:$A,0)-1,SL,,)</f>
        <v>© 2022 Responsible Minerals Initiative. All rights reserved.</v>
      </c>
      <c r="B91" s="403"/>
      <c r="C91" s="403"/>
      <c r="D91" s="403"/>
      <c r="E91" s="403"/>
      <c r="F91" s="403"/>
      <c r="G91" s="403"/>
      <c r="H91" s="403"/>
      <c r="I91" s="403"/>
      <c r="J91" s="40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09" priority="66" stopIfTrue="1">
      <formula>AND(OR($D$26="No",AND($D$26="Yes",$D$32="No")),OR($D$27="No",AND($D$27="Yes",$D$33="No")),OR($D$28="No",AND($D$28="Yes",$D$34="No")),OR($D$29="No",AND($D$29="Yes",$D$35="No")))</formula>
    </cfRule>
    <cfRule type="expression" dxfId="108" priority="67" stopIfTrue="1">
      <formula>IF(D75="",TRUE)</formula>
    </cfRule>
  </conditionalFormatting>
  <conditionalFormatting sqref="G77:J77">
    <cfRule type="expression" dxfId="107" priority="38" stopIfTrue="1">
      <formula>IF(AND($D$77="Yes",$G$77=""),TRUE)</formula>
    </cfRule>
  </conditionalFormatting>
  <conditionalFormatting sqref="D26:E26">
    <cfRule type="expression" dxfId="106" priority="118" stopIfTrue="1">
      <formula>IF($D$26="",TRUE)</formula>
    </cfRule>
  </conditionalFormatting>
  <conditionalFormatting sqref="D27:E27">
    <cfRule type="expression" dxfId="105" priority="125" stopIfTrue="1">
      <formula>IF($D$27="",TRUE)</formula>
    </cfRule>
  </conditionalFormatting>
  <conditionalFormatting sqref="D28:E28">
    <cfRule type="expression" dxfId="104" priority="126" stopIfTrue="1">
      <formula>IF($D$28="",TRUE)</formula>
    </cfRule>
  </conditionalFormatting>
  <conditionalFormatting sqref="D29:E29">
    <cfRule type="expression" dxfId="103" priority="127" stopIfTrue="1">
      <formula>IF($D$29="",TRUE)</formula>
    </cfRule>
  </conditionalFormatting>
  <conditionalFormatting sqref="D8:J8">
    <cfRule type="expression" dxfId="102" priority="132" stopIfTrue="1">
      <formula>IF($D$8="",TRUE)</formula>
    </cfRule>
  </conditionalFormatting>
  <conditionalFormatting sqref="D9:G9">
    <cfRule type="expression" dxfId="101" priority="133" stopIfTrue="1">
      <formula>IF($D$9="",TRUE)</formula>
    </cfRule>
  </conditionalFormatting>
  <conditionalFormatting sqref="D15:J15">
    <cfRule type="expression" dxfId="100" priority="134" stopIfTrue="1">
      <formula>IF($D$15="",TRUE)</formula>
    </cfRule>
  </conditionalFormatting>
  <conditionalFormatting sqref="D16:J16">
    <cfRule type="expression" dxfId="99" priority="135" stopIfTrue="1">
      <formula>IF($D$16="",TRUE)</formula>
    </cfRule>
  </conditionalFormatting>
  <conditionalFormatting sqref="D22:E22">
    <cfRule type="expression" dxfId="98" priority="140" stopIfTrue="1">
      <formula>IF($D$22="",TRUE)</formula>
    </cfRule>
  </conditionalFormatting>
  <conditionalFormatting sqref="D10:J10">
    <cfRule type="expression" dxfId="97" priority="37" stopIfTrue="1">
      <formula>IF($D$9=$Q$9,TRUE)</formula>
    </cfRule>
    <cfRule type="expression" dxfId="96" priority="147" stopIfTrue="1">
      <formula>IF(AND($D$10="",$D$9=$R$9),TRUE)</formula>
    </cfRule>
  </conditionalFormatting>
  <conditionalFormatting sqref="D34:E34 D40:E40 D52:E52 D58:E58 D64:E64 D70:E70">
    <cfRule type="expression" dxfId="95" priority="30" stopIfTrue="1">
      <formula>$P$28=""</formula>
    </cfRule>
  </conditionalFormatting>
  <conditionalFormatting sqref="D35:E35 D41:E41 D53:E53 D59:E59 D65:E65 D71:E71">
    <cfRule type="expression" dxfId="94" priority="145" stopIfTrue="1">
      <formula>$P$29=""</formula>
    </cfRule>
  </conditionalFormatting>
  <conditionalFormatting sqref="D32:E32">
    <cfRule type="expression" dxfId="93" priority="123" stopIfTrue="1">
      <formula>$P$26=""</formula>
    </cfRule>
  </conditionalFormatting>
  <conditionalFormatting sqref="D32:E32">
    <cfRule type="expression" dxfId="92" priority="36" stopIfTrue="1">
      <formula>IF(AND(OR($D$26="Yes",$D$26=""),$D$32=""),1,0)</formula>
    </cfRule>
  </conditionalFormatting>
  <conditionalFormatting sqref="D38 D50 D56 D62 D68">
    <cfRule type="expression" dxfId="91" priority="32" stopIfTrue="1">
      <formula>$P$32=""</formula>
    </cfRule>
  </conditionalFormatting>
  <conditionalFormatting sqref="D39:E39 D51 D57 D63 D69">
    <cfRule type="expression" dxfId="90" priority="31" stopIfTrue="1">
      <formula>$P$33=""</formula>
    </cfRule>
  </conditionalFormatting>
  <conditionalFormatting sqref="D40 D52 D58 D64 D70">
    <cfRule type="expression" dxfId="89" priority="21" stopIfTrue="1">
      <formula>$P$34=""</formula>
    </cfRule>
    <cfRule type="expression" dxfId="88" priority="143" stopIfTrue="1">
      <formula>IF(AND(OR($D$28="Yes",$D$28=""),D40=""),1,0)</formula>
    </cfRule>
  </conditionalFormatting>
  <conditionalFormatting sqref="D41 D53 D59 D65 D71">
    <cfRule type="expression" dxfId="87" priority="29" stopIfTrue="1">
      <formula>$P$35=""</formula>
    </cfRule>
  </conditionalFormatting>
  <conditionalFormatting sqref="D38:E38 D50:E50 D56:E56 D62:E62 D68:E68">
    <cfRule type="expression" dxfId="86" priority="34" stopIfTrue="1">
      <formula>$P$26=""</formula>
    </cfRule>
    <cfRule type="expression" dxfId="85" priority="35" stopIfTrue="1">
      <formula>IF(AND(OR($D$26="Yes",$D$26=""),D38=""),1,0)</formula>
    </cfRule>
  </conditionalFormatting>
  <conditionalFormatting sqref="G85:J85">
    <cfRule type="expression" dxfId="84" priority="28" stopIfTrue="1">
      <formula>IF(AND($D$85="Yes, using other format (describe)",$G$85=""),TRUE)</formula>
    </cfRule>
  </conditionalFormatting>
  <conditionalFormatting sqref="D39:E39 D51:E51 D57:E57 D63:E63 D69:E69">
    <cfRule type="expression" dxfId="83" priority="141" stopIfTrue="1">
      <formula>$P$39=""</formula>
    </cfRule>
    <cfRule type="expression" dxfId="82" priority="142" stopIfTrue="1">
      <formula>IF(AND(OR($D$27="Yes",$D$27=""),D39=""),1,0)</formula>
    </cfRule>
  </conditionalFormatting>
  <conditionalFormatting sqref="D33:E33">
    <cfRule type="expression" dxfId="81" priority="23" stopIfTrue="1">
      <formula>IF(AND(OR($D$27="Yes",$D$27=""),$D$33=""),1,0)</formula>
    </cfRule>
    <cfRule type="expression" dxfId="80" priority="24" stopIfTrue="1">
      <formula>$P$27=""</formula>
    </cfRule>
  </conditionalFormatting>
  <conditionalFormatting sqref="D34:E34">
    <cfRule type="expression" dxfId="79" priority="144" stopIfTrue="1">
      <formula>IF(AND(OR($D$28="Yes",$D$28=""),$D$34=""),1,0)</formula>
    </cfRule>
  </conditionalFormatting>
  <conditionalFormatting sqref="D41:E41 D53:E53 D59:E59 D65:E65 D71:E71">
    <cfRule type="expression" dxfId="78" priority="146" stopIfTrue="1">
      <formula>IF(AND(OR($D$29="Yes",$D$29=""),D41=""),1,0)</formula>
    </cfRule>
  </conditionalFormatting>
  <conditionalFormatting sqref="D35:E35">
    <cfRule type="expression" dxfId="77" priority="20" stopIfTrue="1">
      <formula>IF(AND(OR($D$29="Yes",$D$29=""),$D$35=""),1,0)</formula>
    </cfRule>
  </conditionalFormatting>
  <conditionalFormatting sqref="D20:J20">
    <cfRule type="expression" dxfId="76" priority="16" stopIfTrue="1">
      <formula>IF($D$20="",TRUE)</formula>
    </cfRule>
  </conditionalFormatting>
  <conditionalFormatting sqref="D46:E46">
    <cfRule type="expression" dxfId="75" priority="6" stopIfTrue="1">
      <formula>$P$28=""</formula>
    </cfRule>
  </conditionalFormatting>
  <conditionalFormatting sqref="D47:E47">
    <cfRule type="expression" dxfId="74" priority="14" stopIfTrue="1">
      <formula>$P$29=""</formula>
    </cfRule>
  </conditionalFormatting>
  <conditionalFormatting sqref="D44">
    <cfRule type="expression" dxfId="73" priority="8" stopIfTrue="1">
      <formula>$P$32=""</formula>
    </cfRule>
  </conditionalFormatting>
  <conditionalFormatting sqref="D45">
    <cfRule type="expression" dxfId="72" priority="7" stopIfTrue="1">
      <formula>$P$33=""</formula>
    </cfRule>
  </conditionalFormatting>
  <conditionalFormatting sqref="D46">
    <cfRule type="expression" dxfId="71" priority="4" stopIfTrue="1">
      <formula>$P$34=""</formula>
    </cfRule>
    <cfRule type="expression" dxfId="70" priority="13" stopIfTrue="1">
      <formula>IF(AND(OR($D$28="Yes",$D$28=""),D46=""),1,0)</formula>
    </cfRule>
  </conditionalFormatting>
  <conditionalFormatting sqref="D47">
    <cfRule type="expression" dxfId="69" priority="5" stopIfTrue="1">
      <formula>$P$35=""</formula>
    </cfRule>
  </conditionalFormatting>
  <conditionalFormatting sqref="D44:E44">
    <cfRule type="expression" dxfId="68" priority="9" stopIfTrue="1">
      <formula>$P$26=""</formula>
    </cfRule>
    <cfRule type="expression" dxfId="67" priority="10" stopIfTrue="1">
      <formula>IF(AND(OR($D$26="Yes",$D$26=""),D44=""),1,0)</formula>
    </cfRule>
  </conditionalFormatting>
  <conditionalFormatting sqref="D45:E45">
    <cfRule type="expression" dxfId="66" priority="11" stopIfTrue="1">
      <formula>$P$39=""</formula>
    </cfRule>
    <cfRule type="expression" dxfId="65" priority="12" stopIfTrue="1">
      <formula>IF(AND(OR($D$27="Yes",$D$27=""),D45=""),1,0)</formula>
    </cfRule>
  </conditionalFormatting>
  <conditionalFormatting sqref="D47:E47">
    <cfRule type="expression" dxfId="64" priority="15" stopIfTrue="1">
      <formula>IF(AND(OR($D$29="Yes",$D$29=""),D47=""),1,0)</formula>
    </cfRule>
  </conditionalFormatting>
  <conditionalFormatting sqref="D18:J18">
    <cfRule type="expression" dxfId="63" priority="137" stopIfTrue="1">
      <formula>IF($D$18="",TRUE)</formula>
    </cfRule>
  </conditionalFormatting>
  <conditionalFormatting sqref="D17:J17">
    <cfRule type="expression" dxfId="62" priority="2" stopIfTrue="1">
      <formula>IF($D$17="",TRUE)</formula>
    </cfRule>
  </conditionalFormatting>
  <conditionalFormatting sqref="D21:J21">
    <cfRule type="expression" dxfId="61"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DA0EC0F-F905-4976-846B-86999DB489F3}"/>
    <hyperlink ref="D20" r:id="rId4" xr:uid="{10FEB827-5CEE-4CBD-A628-AA3160F2E290}"/>
    <hyperlink ref="G77" r:id="rId5" xr:uid="{07BC4E46-5CB0-4540-AAB7-AD22ECD4A11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79"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662</v>
      </c>
      <c r="B5" s="208" t="s">
        <v>1130</v>
      </c>
      <c r="C5" s="356" t="s">
        <v>661</v>
      </c>
      <c r="D5" s="270"/>
      <c r="E5" s="208" t="s">
        <v>15669</v>
      </c>
      <c r="F5" s="208" t="s">
        <v>662</v>
      </c>
      <c r="G5" s="208" t="s">
        <v>13320</v>
      </c>
      <c r="H5" s="357" t="s">
        <v>15670</v>
      </c>
      <c r="I5" s="358" t="s">
        <v>1549</v>
      </c>
      <c r="J5" s="358" t="s">
        <v>1550</v>
      </c>
      <c r="K5" s="260"/>
      <c r="L5" s="260"/>
      <c r="M5" s="260"/>
      <c r="N5" s="260"/>
      <c r="O5" s="260"/>
      <c r="P5" s="211"/>
      <c r="Q5" s="261"/>
      <c r="R5" s="208" t="str">
        <f ca="1">IF(ISERROR($V5),"",OFFSET('Smelter Look-up'!$C$4,$V5-4,0)&amp;"")</f>
        <v>C. Hafner GmbH + Co. KG</v>
      </c>
      <c r="S5" s="215" t="str">
        <f t="shared" ref="S5" ca="1" si="0">IF(B5="","",IF(ISERROR(MATCH($E5,CL,0)),"Unknown",INDIRECT("'C'!$A$"&amp;MATCH($E5,CL,0)+1)))</f>
        <v>DE</v>
      </c>
      <c r="T5" s="215" t="str">
        <f ca="1">IF(B5="","",IF(ISERROR(MATCH($J5,SorP!$B$1:$B$6230,0)),"",INDIRECT("'SorP'!$A$"&amp;MATCH($J5,SorP!$B$1:$B$6230,0))))</f>
        <v>DE-BW</v>
      </c>
      <c r="U5" s="231"/>
      <c r="V5" s="262">
        <f>IF(C5="",NA(),IF(OR(C5="Smelter not listed",C5="Smelter not yet identified"),MATCH($B5&amp;$D5,'Smelter Look-up'!$J:$J,0),MATCH($B5&amp;$C5,'Smelter Look-up'!$J:$J,0)))</f>
        <v>43</v>
      </c>
      <c r="W5" s="263"/>
      <c r="X5" s="263">
        <f t="shared" ref="X5" si="1">IF(AND(C5="Smelter not listed",OR(LEN(D5)=0,LEN(E5)=0)),1,0)</f>
        <v>0</v>
      </c>
      <c r="Y5" s="263"/>
      <c r="Z5" s="263"/>
      <c r="AB5" s="265" t="str">
        <f t="shared" ref="AB5" si="2">B5&amp;C5</f>
        <v>GoldC. Hafner GmbH + Co. KG</v>
      </c>
    </row>
    <row r="6" spans="1:34" s="264" customFormat="1" ht="19.899999999999999" customHeight="1">
      <c r="A6" s="316" t="s">
        <v>666</v>
      </c>
      <c r="B6" s="208" t="s">
        <v>1130</v>
      </c>
      <c r="C6" s="356" t="s">
        <v>53</v>
      </c>
      <c r="D6" s="270"/>
      <c r="E6" s="208" t="s">
        <v>15671</v>
      </c>
      <c r="F6" s="208" t="s">
        <v>666</v>
      </c>
      <c r="G6" s="208" t="s">
        <v>13320</v>
      </c>
      <c r="H6" s="357" t="s">
        <v>15672</v>
      </c>
      <c r="I6" s="358" t="s">
        <v>1576</v>
      </c>
      <c r="J6" s="358" t="s">
        <v>6521</v>
      </c>
      <c r="K6" s="260"/>
      <c r="L6" s="260"/>
      <c r="M6" s="260"/>
      <c r="N6" s="260"/>
      <c r="O6" s="260"/>
      <c r="P6" s="211"/>
      <c r="Q6" s="261"/>
      <c r="R6" s="208" t="str">
        <f ca="1">IF(ISERROR($V6),"",OFFSET('Smelter Look-up'!$C$4,$V6-4,0)&amp;"")</f>
        <v>Chimet S.p.A.</v>
      </c>
      <c r="S6" s="215" t="str">
        <f t="shared" ref="S6:S37" ca="1" si="3">IF(B6="","",IF(ISERROR(MATCH($E6,CL,0)),"Unknown",INDIRECT("'C'!$A$"&amp;MATCH($E6,CL,0)+1)))</f>
        <v>IT</v>
      </c>
      <c r="T6" s="215" t="str">
        <f ca="1">IF(B6="","",IF(ISERROR(MATCH($J6,SorP!$B$1:$B$6230,0)),"",INDIRECT("'SorP'!$A$"&amp;MATCH($J6,SorP!$B$1:$B$6230,0))))</f>
        <v>IT-52</v>
      </c>
      <c r="U6" s="231"/>
      <c r="V6" s="262">
        <f>IF(C6="",NA(),IF(OR(C6="Smelter not listed",C6="Smelter not yet identified"),MATCH($B6&amp;$D6,'Smelter Look-up'!$J:$J,0),MATCH($B6&amp;$C6,'Smelter Look-up'!$J:$J,0)))</f>
        <v>55</v>
      </c>
      <c r="W6" s="263"/>
      <c r="X6" s="263">
        <f t="shared" ref="X6:X37" si="4">IF(AND(C6="Smelter not listed",OR(LEN(D6)=0,LEN(E6)=0)),1,0)</f>
        <v>0</v>
      </c>
      <c r="Y6" s="263"/>
      <c r="Z6" s="263"/>
      <c r="AB6" s="265" t="str">
        <f t="shared" ref="AB6:AB37" si="5">B6&amp;C6</f>
        <v>GoldChimet S.p.A.</v>
      </c>
    </row>
    <row r="7" spans="1:34" s="264" customFormat="1" ht="19.899999999999999" customHeight="1">
      <c r="A7" s="316" t="s">
        <v>654</v>
      </c>
      <c r="B7" s="208" t="s">
        <v>1130</v>
      </c>
      <c r="C7" s="356" t="s">
        <v>2305</v>
      </c>
      <c r="D7" s="270"/>
      <c r="E7" s="208" t="s">
        <v>15673</v>
      </c>
      <c r="F7" s="208" t="s">
        <v>654</v>
      </c>
      <c r="G7" s="208" t="s">
        <v>13320</v>
      </c>
      <c r="H7" s="357" t="s">
        <v>15674</v>
      </c>
      <c r="I7" s="358" t="s">
        <v>1555</v>
      </c>
      <c r="J7" s="358" t="s">
        <v>1556</v>
      </c>
      <c r="K7" s="260"/>
      <c r="L7" s="260"/>
      <c r="M7" s="260"/>
      <c r="N7" s="260"/>
      <c r="O7" s="260"/>
      <c r="P7" s="211"/>
      <c r="Q7" s="261"/>
      <c r="R7" s="208" t="str">
        <f ca="1">IF(ISERROR($V7),"",OFFSET('Smelter Look-up'!$C$4,$V7-4,0)&amp;"")</f>
        <v>Argor-Heraeus S.A.</v>
      </c>
      <c r="S7" s="215" t="str">
        <f t="shared" ca="1" si="3"/>
        <v>CH</v>
      </c>
      <c r="T7" s="215" t="str">
        <f ca="1">IF(B7="","",IF(ISERROR(MATCH($J7,SorP!$B$1:$B$6230,0)),"",INDIRECT("'SorP'!$A$"&amp;MATCH($J7,SorP!$B$1:$B$6230,0))))</f>
        <v>CH-TI</v>
      </c>
      <c r="U7" s="231"/>
      <c r="V7" s="262">
        <f>IF(C7="",NA(),IF(OR(C7="Smelter not listed",C7="Smelter not yet identified"),MATCH($B7&amp;$D7,'Smelter Look-up'!$J:$J,0),MATCH($B7&amp;$C7,'Smelter Look-up'!$J:$J,0)))</f>
        <v>28</v>
      </c>
      <c r="W7" s="263"/>
      <c r="X7" s="263">
        <f t="shared" si="4"/>
        <v>0</v>
      </c>
      <c r="Y7" s="263"/>
      <c r="Z7" s="263"/>
      <c r="AB7" s="265" t="str">
        <f t="shared" si="5"/>
        <v>GoldArgor-Heraeus S.A.</v>
      </c>
    </row>
    <row r="8" spans="1:34" s="264" customFormat="1" ht="19.899999999999999" customHeight="1">
      <c r="A8" s="316" t="s">
        <v>2299</v>
      </c>
      <c r="B8" s="208" t="s">
        <v>1131</v>
      </c>
      <c r="C8" s="356" t="s">
        <v>2358</v>
      </c>
      <c r="D8" s="270"/>
      <c r="E8" s="208" t="s">
        <v>15675</v>
      </c>
      <c r="F8" s="208" t="s">
        <v>2299</v>
      </c>
      <c r="G8" s="208" t="s">
        <v>13320</v>
      </c>
      <c r="H8" s="357" t="s">
        <v>15676</v>
      </c>
      <c r="I8" s="358" t="s">
        <v>1787</v>
      </c>
      <c r="J8" s="358" t="s">
        <v>13703</v>
      </c>
      <c r="K8" s="260"/>
      <c r="L8" s="260"/>
      <c r="M8" s="260"/>
      <c r="N8" s="260"/>
      <c r="O8" s="260"/>
      <c r="P8" s="211"/>
      <c r="Q8" s="261"/>
      <c r="R8" s="208" t="str">
        <f ca="1">IF(ISERROR($V8),"",OFFSET('Smelter Look-up'!$C$4,$V8-4,0)&amp;"")</f>
        <v>Chenzhou Yunxiang Mining and Metallurgy Co., Ltd.</v>
      </c>
      <c r="S8" s="215" t="str">
        <f t="shared" ca="1" si="3"/>
        <v>CN</v>
      </c>
      <c r="T8" s="215" t="str">
        <f ca="1">IF(B8="","",IF(ISERROR(MATCH($J8,SorP!$B$1:$B$6230,0)),"",INDIRECT("'SorP'!$A$"&amp;MATCH($J8,SorP!$B$1:$B$6230,0))))</f>
        <v>CN-HN</v>
      </c>
      <c r="U8" s="231"/>
      <c r="V8" s="262">
        <f>IF(C8="",NA(),IF(OR(C8="Smelter not listed",C8="Smelter not yet identified"),MATCH($B8&amp;$D8,'Smelter Look-up'!$J:$J,0),MATCH($B8&amp;$C8,'Smelter Look-up'!$J:$J,0)))</f>
        <v>399</v>
      </c>
      <c r="W8" s="263"/>
      <c r="X8" s="263">
        <f t="shared" si="4"/>
        <v>0</v>
      </c>
      <c r="Y8" s="263"/>
      <c r="Z8" s="263"/>
      <c r="AB8" s="265" t="str">
        <f t="shared" si="5"/>
        <v>TinChenzhou Yunxiang Mining and Metallurgy Co., Ltd.</v>
      </c>
    </row>
    <row r="9" spans="1:34" s="264" customFormat="1" ht="19.899999999999999" customHeight="1">
      <c r="A9" s="316" t="s">
        <v>15198</v>
      </c>
      <c r="B9" s="208" t="s">
        <v>1131</v>
      </c>
      <c r="C9" s="356" t="s">
        <v>942</v>
      </c>
      <c r="D9" s="270" t="s">
        <v>15197</v>
      </c>
      <c r="E9" s="208" t="s">
        <v>15677</v>
      </c>
      <c r="F9" s="208" t="s">
        <v>15198</v>
      </c>
      <c r="G9" s="208" t="s">
        <v>13320</v>
      </c>
      <c r="H9" s="357" t="s">
        <v>15678</v>
      </c>
      <c r="I9" s="358">
        <v>0</v>
      </c>
      <c r="J9" s="358">
        <v>0</v>
      </c>
      <c r="K9" s="260"/>
      <c r="L9" s="260"/>
      <c r="M9" s="260"/>
      <c r="N9" s="260"/>
      <c r="O9" s="260"/>
      <c r="P9" s="211"/>
      <c r="Q9" s="261"/>
      <c r="R9" s="208" t="str">
        <f ca="1">IF(ISERROR($V9),"",OFFSET('Smelter Look-up'!$C$4,$V9-4,0)&amp;"")</f>
        <v>PT Aries Kencana Sejahtera</v>
      </c>
      <c r="S9" s="215" t="str">
        <f t="shared" ca="1" si="3"/>
        <v>ID</v>
      </c>
      <c r="T9" s="215" t="str">
        <f ca="1">IF(B9="","",IF(ISERROR(MATCH($J9,SorP!$B$1:$B$6230,0)),"",INDIRECT("'SorP'!$A$"&amp;MATCH($J9,SorP!$B$1:$B$6230,0))))</f>
        <v/>
      </c>
      <c r="U9" s="231"/>
      <c r="V9" s="262">
        <f>IF(C9="",NA(),IF(OR(C9="Smelter not listed",C9="Smelter not yet identified"),MATCH($B9&amp;$D9,'Smelter Look-up'!$J:$J,0),MATCH($B9&amp;$C9,'Smelter Look-up'!$J:$J,0)))</f>
        <v>483</v>
      </c>
      <c r="W9" s="263"/>
      <c r="X9" s="263">
        <f t="shared" si="4"/>
        <v>0</v>
      </c>
      <c r="Y9" s="263"/>
      <c r="Z9" s="263"/>
      <c r="AB9" s="265" t="str">
        <f t="shared" si="5"/>
        <v>TinSmelter Not Listed</v>
      </c>
    </row>
    <row r="10" spans="1:34" s="264" customFormat="1" ht="19.899999999999999" customHeight="1">
      <c r="A10" s="316" t="s">
        <v>650</v>
      </c>
      <c r="B10" s="208" t="s">
        <v>1130</v>
      </c>
      <c r="C10" s="356" t="s">
        <v>2154</v>
      </c>
      <c r="D10" s="270"/>
      <c r="E10" s="208" t="s">
        <v>15679</v>
      </c>
      <c r="F10" s="208" t="s">
        <v>650</v>
      </c>
      <c r="G10" s="208" t="s">
        <v>13320</v>
      </c>
      <c r="H10" s="357" t="s">
        <v>15680</v>
      </c>
      <c r="I10" s="358" t="s">
        <v>1547</v>
      </c>
      <c r="J10" s="358" t="s">
        <v>1548</v>
      </c>
      <c r="K10" s="260"/>
      <c r="L10" s="260"/>
      <c r="M10" s="260"/>
      <c r="N10" s="260"/>
      <c r="O10" s="260"/>
      <c r="P10" s="211"/>
      <c r="Q10" s="261"/>
      <c r="R10" s="208" t="str">
        <f ca="1">IF(ISERROR($V10),"",OFFSET('Smelter Look-up'!$C$4,$V10-4,0)&amp;"")</f>
        <v>Aida Chemical Industries Co., Ltd.</v>
      </c>
      <c r="S10" s="215" t="str">
        <f t="shared" ca="1" si="3"/>
        <v>JP</v>
      </c>
      <c r="T10" s="215" t="str">
        <f ca="1">IF(B10="","",IF(ISERROR(MATCH($J10,SorP!$B$1:$B$6230,0)),"",INDIRECT("'SorP'!$A$"&amp;MATCH($J10,SorP!$B$1:$B$6230,0))))</f>
        <v>JP-13</v>
      </c>
      <c r="U10" s="231"/>
      <c r="V10" s="262">
        <f>IF(C10="",NA(),IF(OR(C10="Smelter not listed",C10="Smelter not yet identified"),MATCH($B10&amp;$D10,'Smelter Look-up'!$J:$J,0),MATCH($B10&amp;$C10,'Smelter Look-up'!$J:$J,0)))</f>
        <v>13</v>
      </c>
      <c r="W10" s="263"/>
      <c r="X10" s="263">
        <f t="shared" si="4"/>
        <v>0</v>
      </c>
      <c r="Y10" s="263"/>
      <c r="Z10" s="263"/>
      <c r="AB10" s="265" t="str">
        <f t="shared" si="5"/>
        <v>GoldAida Chemical Industries Co., Ltd.</v>
      </c>
    </row>
    <row r="11" spans="1:34" s="264" customFormat="1" ht="19.899999999999999" customHeight="1">
      <c r="A11" s="316" t="s">
        <v>651</v>
      </c>
      <c r="B11" s="208" t="s">
        <v>1130</v>
      </c>
      <c r="C11" s="356" t="s">
        <v>52</v>
      </c>
      <c r="D11" s="270"/>
      <c r="E11" s="208" t="s">
        <v>15669</v>
      </c>
      <c r="F11" s="208" t="s">
        <v>651</v>
      </c>
      <c r="G11" s="208" t="s">
        <v>13320</v>
      </c>
      <c r="H11" s="357" t="s">
        <v>15681</v>
      </c>
      <c r="I11" s="358" t="s">
        <v>1549</v>
      </c>
      <c r="J11" s="358" t="s">
        <v>1550</v>
      </c>
      <c r="K11" s="260"/>
      <c r="L11" s="260"/>
      <c r="M11" s="260"/>
      <c r="N11" s="260"/>
      <c r="O11" s="260"/>
      <c r="P11" s="211"/>
      <c r="Q11" s="261"/>
      <c r="R11" s="208" t="str">
        <f ca="1">IF(ISERROR($V11),"",OFFSET('Smelter Look-up'!$C$4,$V11-4,0)&amp;"")</f>
        <v>Agosi AG</v>
      </c>
      <c r="S11" s="215" t="str">
        <f t="shared" ca="1" si="3"/>
        <v>DE</v>
      </c>
      <c r="T11" s="215" t="str">
        <f ca="1">IF(B11="","",IF(ISERROR(MATCH($J11,SorP!$B$1:$B$6230,0)),"",INDIRECT("'SorP'!$A$"&amp;MATCH($J11,SorP!$B$1:$B$6230,0))))</f>
        <v>DE-BW</v>
      </c>
      <c r="U11" s="231"/>
      <c r="V11" s="262">
        <f>IF(C11="",NA(),IF(OR(C11="Smelter not listed",C11="Smelter not yet identified"),MATCH($B11&amp;$D11,'Smelter Look-up'!$J:$J,0),MATCH($B11&amp;$C11,'Smelter Look-up'!$J:$J,0)))</f>
        <v>19</v>
      </c>
      <c r="W11" s="263"/>
      <c r="X11" s="263">
        <f t="shared" si="4"/>
        <v>0</v>
      </c>
      <c r="Y11" s="263"/>
      <c r="Z11" s="263"/>
      <c r="AB11" s="265" t="str">
        <f t="shared" si="5"/>
        <v>GoldAllgemeine Gold-und Silberscheideanstalt A.G.</v>
      </c>
    </row>
    <row r="12" spans="1:34" s="264" customFormat="1" ht="19.899999999999999" customHeight="1">
      <c r="A12" s="316" t="s">
        <v>658</v>
      </c>
      <c r="B12" s="208" t="s">
        <v>1130</v>
      </c>
      <c r="C12" s="356" t="s">
        <v>1224</v>
      </c>
      <c r="D12" s="270"/>
      <c r="E12" s="208" t="s">
        <v>15669</v>
      </c>
      <c r="F12" s="208" t="s">
        <v>658</v>
      </c>
      <c r="G12" s="208" t="s">
        <v>13320</v>
      </c>
      <c r="H12" s="357" t="s">
        <v>15682</v>
      </c>
      <c r="I12" s="358" t="s">
        <v>1563</v>
      </c>
      <c r="J12" s="358" t="s">
        <v>1563</v>
      </c>
      <c r="K12" s="260"/>
      <c r="L12" s="260"/>
      <c r="M12" s="260"/>
      <c r="N12" s="260"/>
      <c r="O12" s="260"/>
      <c r="P12" s="211"/>
      <c r="Q12" s="261"/>
      <c r="R12" s="208" t="str">
        <f ca="1">IF(ISERROR($V12),"",OFFSET('Smelter Look-up'!$C$4,$V12-4,0)&amp;"")</f>
        <v>Aurubis AG</v>
      </c>
      <c r="S12" s="215" t="str">
        <f t="shared" ca="1" si="3"/>
        <v>DE</v>
      </c>
      <c r="T12" s="215" t="str">
        <f ca="1">IF(B12="","",IF(ISERROR(MATCH($J12,SorP!$B$1:$B$6230,0)),"",INDIRECT("'SorP'!$A$"&amp;MATCH($J12,SorP!$B$1:$B$6230,0))))</f>
        <v>DE-HH</v>
      </c>
      <c r="U12" s="231"/>
      <c r="V12" s="262">
        <f>IF(C12="",NA(),IF(OR(C12="Smelter not listed",C12="Smelter not yet identified"),MATCH($B12&amp;$D12,'Smelter Look-up'!$J:$J,0),MATCH($B12&amp;$C12,'Smelter Look-up'!$J:$J,0)))</f>
        <v>37</v>
      </c>
      <c r="W12" s="263"/>
      <c r="X12" s="263">
        <f t="shared" si="4"/>
        <v>0</v>
      </c>
      <c r="Y12" s="263"/>
      <c r="Z12" s="263"/>
      <c r="AB12" s="265" t="str">
        <f t="shared" si="5"/>
        <v>GoldAurubis AG</v>
      </c>
    </row>
    <row r="13" spans="1:34" s="264" customFormat="1" ht="19.899999999999999" customHeight="1">
      <c r="A13" s="316" t="s">
        <v>767</v>
      </c>
      <c r="B13" s="208" t="s">
        <v>1131</v>
      </c>
      <c r="C13" s="356" t="s">
        <v>842</v>
      </c>
      <c r="D13" s="270"/>
      <c r="E13" s="208" t="s">
        <v>15683</v>
      </c>
      <c r="F13" s="208" t="s">
        <v>767</v>
      </c>
      <c r="G13" s="208" t="s">
        <v>13320</v>
      </c>
      <c r="H13" s="357" t="s">
        <v>15684</v>
      </c>
      <c r="I13" s="358" t="s">
        <v>1781</v>
      </c>
      <c r="J13" s="358" t="s">
        <v>1781</v>
      </c>
      <c r="K13" s="260"/>
      <c r="L13" s="260"/>
      <c r="M13" s="260"/>
      <c r="N13" s="260"/>
      <c r="O13" s="260"/>
      <c r="P13" s="211"/>
      <c r="Q13" s="261"/>
      <c r="R13" s="208" t="str">
        <f ca="1">IF(ISERROR($V13),"",OFFSET('Smelter Look-up'!$C$4,$V13-4,0)&amp;"")</f>
        <v>EM Vinto</v>
      </c>
      <c r="S13" s="215" t="str">
        <f t="shared" ca="1" si="3"/>
        <v>BO</v>
      </c>
      <c r="T13" s="215" t="str">
        <f ca="1">IF(B13="","",IF(ISERROR(MATCH($J13,SorP!$B$1:$B$6230,0)),"",INDIRECT("'SorP'!$A$"&amp;MATCH($J13,SorP!$B$1:$B$6230,0))))</f>
        <v>BO-O</v>
      </c>
      <c r="U13" s="231"/>
      <c r="V13" s="262">
        <f>IF(C13="",NA(),IF(OR(C13="Smelter not listed",C13="Smelter not yet identified"),MATCH($B13&amp;$D13,'Smelter Look-up'!$J:$J,0),MATCH($B13&amp;$C13,'Smelter Look-up'!$J:$J,0)))</f>
        <v>418</v>
      </c>
      <c r="W13" s="263"/>
      <c r="X13" s="263">
        <f t="shared" si="4"/>
        <v>0</v>
      </c>
      <c r="Y13" s="263"/>
      <c r="Z13" s="263"/>
      <c r="AB13" s="265" t="str">
        <f t="shared" si="5"/>
        <v>TinEM Vinto</v>
      </c>
    </row>
    <row r="14" spans="1:34" s="264" customFormat="1" ht="19.899999999999999" customHeight="1">
      <c r="A14" s="316" t="s">
        <v>769</v>
      </c>
      <c r="B14" s="208" t="s">
        <v>1131</v>
      </c>
      <c r="C14" s="356" t="s">
        <v>815</v>
      </c>
      <c r="D14" s="270"/>
      <c r="E14" s="208" t="s">
        <v>15685</v>
      </c>
      <c r="F14" s="208" t="s">
        <v>769</v>
      </c>
      <c r="G14" s="208" t="s">
        <v>13320</v>
      </c>
      <c r="H14" s="357" t="s">
        <v>15686</v>
      </c>
      <c r="I14" s="358" t="s">
        <v>1784</v>
      </c>
      <c r="J14" s="358" t="s">
        <v>9580</v>
      </c>
      <c r="K14" s="260"/>
      <c r="L14" s="260"/>
      <c r="M14" s="260"/>
      <c r="N14" s="260"/>
      <c r="O14" s="260"/>
      <c r="P14" s="211"/>
      <c r="Q14" s="261"/>
      <c r="R14" s="208" t="str">
        <f ca="1">IF(ISERROR($V14),"",OFFSET('Smelter Look-up'!$C$4,$V14-4,0)&amp;"")</f>
        <v>Fenix Metals</v>
      </c>
      <c r="S14" s="215" t="str">
        <f t="shared" ca="1" si="3"/>
        <v>PL</v>
      </c>
      <c r="T14" s="215" t="str">
        <f ca="1">IF(B14="","",IF(ISERROR(MATCH($J14,SorP!$B$1:$B$6230,0)),"",INDIRECT("'SorP'!$A$"&amp;MATCH($J14,SorP!$B$1:$B$6230,0))))</f>
        <v>PL-18</v>
      </c>
      <c r="U14" s="231"/>
      <c r="V14" s="262">
        <f>IF(C14="",NA(),IF(OR(C14="Smelter not listed",C14="Smelter not yet identified"),MATCH($B14&amp;$D14,'Smelter Look-up'!$J:$J,0),MATCH($B14&amp;$C14,'Smelter Look-up'!$J:$J,0)))</f>
        <v>427</v>
      </c>
      <c r="W14" s="263"/>
      <c r="X14" s="263">
        <f t="shared" si="4"/>
        <v>0</v>
      </c>
      <c r="Y14" s="263"/>
      <c r="Z14" s="263"/>
      <c r="AB14" s="265" t="str">
        <f t="shared" si="5"/>
        <v>TinFenix Metals</v>
      </c>
    </row>
    <row r="15" spans="1:34" s="264" customFormat="1" ht="19.899999999999999" customHeight="1">
      <c r="A15" s="316" t="s">
        <v>684</v>
      </c>
      <c r="B15" s="208" t="s">
        <v>1130</v>
      </c>
      <c r="C15" s="356" t="s">
        <v>1228</v>
      </c>
      <c r="D15" s="270"/>
      <c r="E15" s="208" t="s">
        <v>15679</v>
      </c>
      <c r="F15" s="208" t="s">
        <v>684</v>
      </c>
      <c r="G15" s="208" t="s">
        <v>13320</v>
      </c>
      <c r="H15" s="357" t="s">
        <v>15687</v>
      </c>
      <c r="I15" s="358" t="s">
        <v>1601</v>
      </c>
      <c r="J15" s="358" t="s">
        <v>1587</v>
      </c>
      <c r="K15" s="260"/>
      <c r="L15" s="260"/>
      <c r="M15" s="260"/>
      <c r="N15" s="260"/>
      <c r="O15" s="260"/>
      <c r="P15" s="211"/>
      <c r="Q15" s="261"/>
      <c r="R15" s="208" t="str">
        <f ca="1">IF(ISERROR($V15),"",OFFSET('Smelter Look-up'!$C$4,$V15-4,0)&amp;"")</f>
        <v>Ishifuku Metal Industry Co., Ltd.</v>
      </c>
      <c r="S15" s="215" t="str">
        <f t="shared" ca="1" si="3"/>
        <v>JP</v>
      </c>
      <c r="T15" s="215" t="str">
        <f ca="1">IF(B15="","",IF(ISERROR(MATCH($J15,SorP!$B$1:$B$6230,0)),"",INDIRECT("'SorP'!$A$"&amp;MATCH($J15,SorP!$B$1:$B$6230,0))))</f>
        <v>JP-11</v>
      </c>
      <c r="U15" s="231"/>
      <c r="V15" s="262">
        <f>IF(C15="",NA(),IF(OR(C15="Smelter not listed",C15="Smelter not yet identified"),MATCH($B15&amp;$D15,'Smelter Look-up'!$J:$J,0),MATCH($B15&amp;$C15,'Smelter Look-up'!$J:$J,0)))</f>
        <v>119</v>
      </c>
      <c r="W15" s="263"/>
      <c r="X15" s="263">
        <f t="shared" si="4"/>
        <v>0</v>
      </c>
      <c r="Y15" s="263"/>
      <c r="Z15" s="263"/>
      <c r="AB15" s="265" t="str">
        <f t="shared" si="5"/>
        <v>GoldIshifuku Metal Industry Co., Ltd.</v>
      </c>
    </row>
    <row r="16" spans="1:34" s="264" customFormat="1" ht="19.899999999999999" customHeight="1">
      <c r="A16" s="316" t="s">
        <v>770</v>
      </c>
      <c r="B16" s="208" t="s">
        <v>1131</v>
      </c>
      <c r="C16" s="356" t="s">
        <v>2158</v>
      </c>
      <c r="D16" s="270"/>
      <c r="E16" s="208" t="s">
        <v>15675</v>
      </c>
      <c r="F16" s="208" t="s">
        <v>770</v>
      </c>
      <c r="G16" s="208" t="s">
        <v>13320</v>
      </c>
      <c r="H16" s="357" t="s">
        <v>15688</v>
      </c>
      <c r="I16" s="358" t="s">
        <v>2470</v>
      </c>
      <c r="J16" s="358" t="s">
        <v>13708</v>
      </c>
      <c r="K16" s="260"/>
      <c r="L16" s="260"/>
      <c r="M16" s="260"/>
      <c r="N16" s="260"/>
      <c r="O16" s="260"/>
      <c r="P16" s="211"/>
      <c r="Q16" s="261"/>
      <c r="R16" s="208" t="str">
        <f ca="1">IF(ISERROR($V16),"",OFFSET('Smelter Look-up'!$C$4,$V16-4,0)&amp;"")</f>
        <v>Gejiu Non-Ferrous Metal Processing Co., Ltd.</v>
      </c>
      <c r="S16" s="215" t="str">
        <f t="shared" ca="1" si="3"/>
        <v>CN</v>
      </c>
      <c r="T16" s="215" t="str">
        <f ca="1">IF(B16="","",IF(ISERROR(MATCH($J16,SorP!$B$1:$B$6230,0)),"",INDIRECT("'SorP'!$A$"&amp;MATCH($J16,SorP!$B$1:$B$6230,0))))</f>
        <v>CN-YN</v>
      </c>
      <c r="U16" s="231"/>
      <c r="V16" s="262">
        <f>IF(C16="",NA(),IF(OR(C16="Smelter not listed",C16="Smelter not yet identified"),MATCH($B16&amp;$D16,'Smelter Look-up'!$J:$J,0),MATCH($B16&amp;$C16,'Smelter Look-up'!$J:$J,0)))</f>
        <v>433</v>
      </c>
      <c r="W16" s="263"/>
      <c r="X16" s="263">
        <f t="shared" si="4"/>
        <v>0</v>
      </c>
      <c r="Y16" s="263"/>
      <c r="Z16" s="263"/>
      <c r="AB16" s="265" t="str">
        <f t="shared" si="5"/>
        <v>TinGejiu Non-Ferrous Metal Processing Co., Ltd.</v>
      </c>
    </row>
    <row r="17" spans="1:28" s="264" customFormat="1" ht="19.899999999999999" customHeight="1">
      <c r="A17" s="316" t="s">
        <v>771</v>
      </c>
      <c r="B17" s="208" t="s">
        <v>1131</v>
      </c>
      <c r="C17" s="356" t="s">
        <v>1785</v>
      </c>
      <c r="D17" s="270"/>
      <c r="E17" s="208" t="s">
        <v>15675</v>
      </c>
      <c r="F17" s="208" t="s">
        <v>771</v>
      </c>
      <c r="G17" s="208" t="s">
        <v>13320</v>
      </c>
      <c r="H17" s="357" t="s">
        <v>15689</v>
      </c>
      <c r="I17" s="358" t="s">
        <v>2470</v>
      </c>
      <c r="J17" s="358" t="s">
        <v>13708</v>
      </c>
      <c r="K17" s="260"/>
      <c r="L17" s="260"/>
      <c r="M17" s="260"/>
      <c r="N17" s="260"/>
      <c r="O17" s="260"/>
      <c r="P17" s="211"/>
      <c r="Q17" s="261"/>
      <c r="R17" s="208" t="str">
        <f ca="1">IF(ISERROR($V17),"",OFFSET('Smelter Look-up'!$C$4,$V17-4,0)&amp;"")</f>
        <v>Gejiu Zili Mining And Metallurgy Co., Ltd.</v>
      </c>
      <c r="S17" s="215" t="str">
        <f t="shared" ca="1" si="3"/>
        <v>CN</v>
      </c>
      <c r="T17" s="215" t="str">
        <f ca="1">IF(B17="","",IF(ISERROR(MATCH($J17,SorP!$B$1:$B$6230,0)),"",INDIRECT("'SorP'!$A$"&amp;MATCH($J17,SorP!$B$1:$B$6230,0))))</f>
        <v>CN-YN</v>
      </c>
      <c r="U17" s="231"/>
      <c r="V17" s="262">
        <f>IF(C17="",NA(),IF(OR(C17="Smelter not listed",C17="Smelter not yet identified"),MATCH($B17&amp;$D17,'Smelter Look-up'!$J:$J,0),MATCH($B17&amp;$C17,'Smelter Look-up'!$J:$J,0)))</f>
        <v>436</v>
      </c>
      <c r="W17" s="263"/>
      <c r="X17" s="263">
        <f t="shared" si="4"/>
        <v>0</v>
      </c>
      <c r="Y17" s="263"/>
      <c r="Z17" s="263"/>
      <c r="AB17" s="265" t="str">
        <f t="shared" si="5"/>
        <v>TinGejiu Zili Mining And Metallurgy Co., Ltd.</v>
      </c>
    </row>
    <row r="18" spans="1:28" s="264" customFormat="1" ht="19.899999999999999" customHeight="1">
      <c r="A18" s="207" t="s">
        <v>689</v>
      </c>
      <c r="B18" s="208" t="s">
        <v>1130</v>
      </c>
      <c r="C18" s="356" t="s">
        <v>2307</v>
      </c>
      <c r="D18" s="270"/>
      <c r="E18" s="208" t="s">
        <v>15690</v>
      </c>
      <c r="F18" s="208" t="s">
        <v>689</v>
      </c>
      <c r="G18" s="208" t="s">
        <v>13320</v>
      </c>
      <c r="H18" s="357" t="s">
        <v>15691</v>
      </c>
      <c r="I18" s="358" t="s">
        <v>1609</v>
      </c>
      <c r="J18" s="358" t="s">
        <v>1610</v>
      </c>
      <c r="K18" s="260"/>
      <c r="L18" s="260"/>
      <c r="M18" s="260"/>
      <c r="N18" s="260"/>
      <c r="O18" s="260"/>
      <c r="P18" s="211"/>
      <c r="Q18" s="261"/>
      <c r="R18" s="208" t="str">
        <f ca="1">IF(ISERROR($V18),"",OFFSET('Smelter Look-up'!$C$4,$V18-4,0)&amp;"")</f>
        <v>Asahi Refining Canada Ltd.</v>
      </c>
      <c r="S18" s="215" t="str">
        <f t="shared" ca="1" si="3"/>
        <v>CA</v>
      </c>
      <c r="T18" s="215" t="str">
        <f ca="1">IF(B18="","",IF(ISERROR(MATCH($J18,SorP!$B$1:$B$6230,0)),"",INDIRECT("'SorP'!$A$"&amp;MATCH($J18,SorP!$B$1:$B$6230,0))))</f>
        <v>CA-ON</v>
      </c>
      <c r="U18" s="231"/>
      <c r="V18" s="262">
        <f>IF(C18="",NA(),IF(OR(C18="Smelter not listed",C18="Smelter not yet identified"),MATCH($B18&amp;$D18,'Smelter Look-up'!$J:$J,0),MATCH($B18&amp;$C18,'Smelter Look-up'!$J:$J,0)))</f>
        <v>30</v>
      </c>
      <c r="W18" s="263"/>
      <c r="X18" s="263">
        <f t="shared" si="4"/>
        <v>0</v>
      </c>
      <c r="Y18" s="263"/>
      <c r="Z18" s="263"/>
      <c r="AB18" s="265" t="str">
        <f t="shared" si="5"/>
        <v>GoldAsahi Refining Canada Ltd.</v>
      </c>
    </row>
    <row r="19" spans="1:28" s="264" customFormat="1" ht="89.25">
      <c r="A19" s="207" t="s">
        <v>772</v>
      </c>
      <c r="B19" s="208" t="s">
        <v>1131</v>
      </c>
      <c r="C19" s="356" t="s">
        <v>1427</v>
      </c>
      <c r="D19" s="270"/>
      <c r="E19" s="208" t="s">
        <v>15675</v>
      </c>
      <c r="F19" s="208" t="s">
        <v>772</v>
      </c>
      <c r="G19" s="208" t="s">
        <v>13320</v>
      </c>
      <c r="H19" s="357" t="s">
        <v>15692</v>
      </c>
      <c r="I19" s="358" t="s">
        <v>2470</v>
      </c>
      <c r="J19" s="358" t="s">
        <v>13708</v>
      </c>
      <c r="K19" s="260"/>
      <c r="L19" s="260"/>
      <c r="M19" s="260"/>
      <c r="N19" s="260"/>
      <c r="O19" s="260"/>
      <c r="P19" s="211"/>
      <c r="Q19" s="261"/>
      <c r="R19" s="208" t="str">
        <f ca="1">IF(ISERROR($V19),"",OFFSET('Smelter Look-up'!$C$4,$V19-4,0)&amp;"")</f>
        <v>Gejiu Kai Meng Industry and Trade LLC</v>
      </c>
      <c r="S19" s="215" t="str">
        <f t="shared" ca="1" si="3"/>
        <v>CN</v>
      </c>
      <c r="T19" s="215" t="str">
        <f ca="1">IF(B19="","",IF(ISERROR(MATCH($J19,SorP!$B$1:$B$6230,0)),"",INDIRECT("'SorP'!$A$"&amp;MATCH($J19,SorP!$B$1:$B$6230,0))))</f>
        <v>CN-YN</v>
      </c>
      <c r="U19" s="231"/>
      <c r="V19" s="262">
        <f>IF(C19="",NA(),IF(OR(C19="Smelter not listed",C19="Smelter not yet identified"),MATCH($B19&amp;$D19,'Smelter Look-up'!$J:$J,0),MATCH($B19&amp;$C19,'Smelter Look-up'!$J:$J,0)))</f>
        <v>432</v>
      </c>
      <c r="W19" s="263"/>
      <c r="X19" s="263">
        <f t="shared" si="4"/>
        <v>0</v>
      </c>
      <c r="Y19" s="263"/>
      <c r="Z19" s="263"/>
      <c r="AB19" s="265" t="str">
        <f t="shared" si="5"/>
        <v>TinGejiu Kai Meng Industry and Trade LLC</v>
      </c>
    </row>
    <row r="20" spans="1:28" s="264" customFormat="1" ht="63.75">
      <c r="A20" s="207" t="s">
        <v>695</v>
      </c>
      <c r="B20" s="208" t="s">
        <v>1130</v>
      </c>
      <c r="C20" s="356" t="s">
        <v>694</v>
      </c>
      <c r="D20" s="270"/>
      <c r="E20" s="208" t="s">
        <v>15693</v>
      </c>
      <c r="F20" s="208" t="s">
        <v>695</v>
      </c>
      <c r="G20" s="208" t="s">
        <v>13320</v>
      </c>
      <c r="H20" s="357" t="s">
        <v>15694</v>
      </c>
      <c r="I20" s="358" t="s">
        <v>1614</v>
      </c>
      <c r="J20" s="358" t="s">
        <v>1607</v>
      </c>
      <c r="K20" s="260"/>
      <c r="L20" s="260"/>
      <c r="M20" s="260"/>
      <c r="N20" s="260"/>
      <c r="O20" s="260"/>
      <c r="P20" s="211"/>
      <c r="Q20" s="261"/>
      <c r="R20" s="208" t="str">
        <f ca="1">IF(ISERROR($V20),"",OFFSET('Smelter Look-up'!$C$4,$V20-4,0)&amp;"")</f>
        <v>Kennecott Utah Copper LLC</v>
      </c>
      <c r="S20" s="215" t="str">
        <f t="shared" ca="1" si="3"/>
        <v>US</v>
      </c>
      <c r="T20" s="215" t="str">
        <f ca="1">IF(B20="","",IF(ISERROR(MATCH($J20,SorP!$B$1:$B$6230,0)),"",INDIRECT("'SorP'!$A$"&amp;MATCH($J20,SorP!$B$1:$B$6230,0))))</f>
        <v>US-UT</v>
      </c>
      <c r="U20" s="231"/>
      <c r="V20" s="262">
        <f>IF(C20="",NA(),IF(OR(C20="Smelter not listed",C20="Smelter not yet identified"),MATCH($B20&amp;$D20,'Smelter Look-up'!$J:$J,0),MATCH($B20&amp;$C20,'Smelter Look-up'!$J:$J,0)))</f>
        <v>138</v>
      </c>
      <c r="W20" s="263"/>
      <c r="X20" s="263">
        <f t="shared" si="4"/>
        <v>0</v>
      </c>
      <c r="Y20" s="263"/>
      <c r="Z20" s="263"/>
      <c r="AB20" s="265" t="str">
        <f t="shared" si="5"/>
        <v>GoldKennecott Utah Copper LLC</v>
      </c>
    </row>
    <row r="21" spans="1:28" s="264" customFormat="1" ht="25.5">
      <c r="A21" s="207" t="s">
        <v>766</v>
      </c>
      <c r="B21" s="208" t="s">
        <v>1131</v>
      </c>
      <c r="C21" s="356" t="s">
        <v>49</v>
      </c>
      <c r="D21" s="270"/>
      <c r="E21" s="208" t="s">
        <v>15693</v>
      </c>
      <c r="F21" s="208" t="s">
        <v>766</v>
      </c>
      <c r="G21" s="208" t="s">
        <v>13320</v>
      </c>
      <c r="H21" s="357" t="s">
        <v>15695</v>
      </c>
      <c r="I21" s="358" t="s">
        <v>1772</v>
      </c>
      <c r="J21" s="358" t="s">
        <v>1748</v>
      </c>
      <c r="K21" s="260"/>
      <c r="L21" s="260"/>
      <c r="M21" s="260"/>
      <c r="N21" s="260"/>
      <c r="O21" s="260"/>
      <c r="P21" s="211"/>
      <c r="Q21" s="261"/>
      <c r="R21" s="208" t="str">
        <f ca="1">IF(ISERROR($V21),"",OFFSET('Smelter Look-up'!$C$4,$V21-4,0)&amp;"")</f>
        <v>Alpha</v>
      </c>
      <c r="S21" s="215" t="str">
        <f t="shared" ca="1" si="3"/>
        <v>US</v>
      </c>
      <c r="T21" s="215" t="str">
        <f ca="1">IF(B21="","",IF(ISERROR(MATCH($J21,SorP!$B$1:$B$6230,0)),"",INDIRECT("'SorP'!$A$"&amp;MATCH($J21,SorP!$B$1:$B$6230,0))))</f>
        <v>US-PA</v>
      </c>
      <c r="U21" s="231"/>
      <c r="V21" s="262">
        <f>IF(C21="",NA(),IF(OR(C21="Smelter not listed",C21="Smelter not yet identified"),MATCH($B21&amp;$D21,'Smelter Look-up'!$J:$J,0),MATCH($B21&amp;$C21,'Smelter Look-up'!$J:$J,0)))</f>
        <v>390</v>
      </c>
      <c r="W21" s="263"/>
      <c r="X21" s="263">
        <f t="shared" si="4"/>
        <v>0</v>
      </c>
      <c r="Y21" s="263"/>
      <c r="Z21" s="263"/>
      <c r="AB21" s="265" t="str">
        <f t="shared" si="5"/>
        <v>TinAlpha</v>
      </c>
    </row>
    <row r="22" spans="1:28" s="264" customFormat="1" ht="76.5">
      <c r="A22" s="207" t="s">
        <v>672</v>
      </c>
      <c r="B22" s="208" t="s">
        <v>1130</v>
      </c>
      <c r="C22" s="356" t="s">
        <v>12998</v>
      </c>
      <c r="D22" s="270"/>
      <c r="E22" s="208" t="s">
        <v>15669</v>
      </c>
      <c r="F22" s="208" t="s">
        <v>672</v>
      </c>
      <c r="G22" s="208" t="s">
        <v>13320</v>
      </c>
      <c r="H22" s="357" t="s">
        <v>15696</v>
      </c>
      <c r="I22" s="358" t="s">
        <v>1549</v>
      </c>
      <c r="J22" s="358" t="s">
        <v>1550</v>
      </c>
      <c r="K22" s="260"/>
      <c r="L22" s="260"/>
      <c r="M22" s="260"/>
      <c r="N22" s="260"/>
      <c r="O22" s="260"/>
      <c r="P22" s="211"/>
      <c r="Q22" s="261"/>
      <c r="R22" s="208" t="str">
        <f ca="1">IF(ISERROR($V22),"",OFFSET('Smelter Look-up'!$C$4,$V22-4,0)&amp;"")</f>
        <v>DODUCO Contacts and Refining GmbH</v>
      </c>
      <c r="S22" s="215" t="str">
        <f t="shared" ca="1" si="3"/>
        <v>DE</v>
      </c>
      <c r="T22" s="215" t="str">
        <f ca="1">IF(B22="","",IF(ISERROR(MATCH($J22,SorP!$B$1:$B$6230,0)),"",INDIRECT("'SorP'!$A$"&amp;MATCH($J22,SorP!$B$1:$B$6230,0))))</f>
        <v>DE-BW</v>
      </c>
      <c r="U22" s="231"/>
      <c r="V22" s="262">
        <f>IF(C22="",NA(),IF(OR(C22="Smelter not listed",C22="Smelter not yet identified"),MATCH($B22&amp;$D22,'Smelter Look-up'!$J:$J,0),MATCH($B22&amp;$C22,'Smelter Look-up'!$J:$J,0)))</f>
        <v>65</v>
      </c>
      <c r="W22" s="263"/>
      <c r="X22" s="263">
        <f t="shared" si="4"/>
        <v>0</v>
      </c>
      <c r="Y22" s="263"/>
      <c r="Z22" s="263"/>
      <c r="AB22" s="265" t="str">
        <f t="shared" si="5"/>
        <v>GoldDODUCO Contacts and Refining GmbH</v>
      </c>
    </row>
    <row r="23" spans="1:28" s="264" customFormat="1" ht="51">
      <c r="A23" s="207" t="s">
        <v>678</v>
      </c>
      <c r="B23" s="208" t="s">
        <v>1130</v>
      </c>
      <c r="C23" s="356" t="s">
        <v>1039</v>
      </c>
      <c r="D23" s="270"/>
      <c r="E23" s="208" t="s">
        <v>15669</v>
      </c>
      <c r="F23" s="208" t="s">
        <v>678</v>
      </c>
      <c r="G23" s="208" t="s">
        <v>13320</v>
      </c>
      <c r="H23" s="357" t="s">
        <v>15697</v>
      </c>
      <c r="I23" s="358" t="s">
        <v>1549</v>
      </c>
      <c r="J23" s="358" t="s">
        <v>1550</v>
      </c>
      <c r="K23" s="260"/>
      <c r="L23" s="260"/>
      <c r="M23" s="260"/>
      <c r="N23" s="260"/>
      <c r="O23" s="260"/>
      <c r="P23" s="211"/>
      <c r="Q23" s="261"/>
      <c r="R23" s="208" t="str">
        <f ca="1">IF(ISERROR($V23),"",OFFSET('Smelter Look-up'!$C$4,$V23-4,0)&amp;"")</f>
        <v>Heimerle + Meule GmbH</v>
      </c>
      <c r="S23" s="215" t="str">
        <f t="shared" ca="1" si="3"/>
        <v>DE</v>
      </c>
      <c r="T23" s="215" t="str">
        <f ca="1">IF(B23="","",IF(ISERROR(MATCH($J23,SorP!$B$1:$B$6230,0)),"",INDIRECT("'SorP'!$A$"&amp;MATCH($J23,SorP!$B$1:$B$6230,0))))</f>
        <v>DE-BW</v>
      </c>
      <c r="U23" s="231"/>
      <c r="V23" s="262">
        <f>IF(C23="",NA(),IF(OR(C23="Smelter not listed",C23="Smelter not yet identified"),MATCH($B23&amp;$D23,'Smelter Look-up'!$J:$J,0),MATCH($B23&amp;$C23,'Smelter Look-up'!$J:$J,0)))</f>
        <v>102</v>
      </c>
      <c r="W23" s="263"/>
      <c r="X23" s="263">
        <f t="shared" si="4"/>
        <v>0</v>
      </c>
      <c r="Y23" s="263"/>
      <c r="Z23" s="263"/>
      <c r="AB23" s="265" t="str">
        <f t="shared" si="5"/>
        <v>GoldHeimerle + Meule GmbH</v>
      </c>
    </row>
    <row r="24" spans="1:28" s="264" customFormat="1" ht="38.25">
      <c r="A24" s="207" t="s">
        <v>1410</v>
      </c>
      <c r="B24" s="208" t="s">
        <v>1131</v>
      </c>
      <c r="C24" s="356" t="s">
        <v>906</v>
      </c>
      <c r="D24" s="270"/>
      <c r="E24" s="208" t="s">
        <v>15679</v>
      </c>
      <c r="F24" s="208" t="s">
        <v>1410</v>
      </c>
      <c r="G24" s="208" t="s">
        <v>13320</v>
      </c>
      <c r="H24" s="357" t="s">
        <v>15698</v>
      </c>
      <c r="I24" s="358" t="s">
        <v>1581</v>
      </c>
      <c r="J24" s="358" t="s">
        <v>1582</v>
      </c>
      <c r="K24" s="260"/>
      <c r="L24" s="260"/>
      <c r="M24" s="260"/>
      <c r="N24" s="260"/>
      <c r="O24" s="260"/>
      <c r="P24" s="211"/>
      <c r="Q24" s="261"/>
      <c r="R24" s="208" t="str">
        <f ca="1">IF(ISERROR($V24),"",OFFSET('Smelter Look-up'!$C$4,$V24-4,0)&amp;"")</f>
        <v>Dowa</v>
      </c>
      <c r="S24" s="215" t="str">
        <f t="shared" ca="1" si="3"/>
        <v>JP</v>
      </c>
      <c r="T24" s="215" t="str">
        <f ca="1">IF(B24="","",IF(ISERROR(MATCH($J24,SorP!$B$1:$B$6230,0)),"",INDIRECT("'SorP'!$A$"&amp;MATCH($J24,SorP!$B$1:$B$6230,0))))</f>
        <v>JP-05</v>
      </c>
      <c r="U24" s="231"/>
      <c r="V24" s="262">
        <f>IF(C24="",NA(),IF(OR(C24="Smelter not listed",C24="Smelter not yet identified"),MATCH($B24&amp;$D24,'Smelter Look-up'!$J:$J,0),MATCH($B24&amp;$C24,'Smelter Look-up'!$J:$J,0)))</f>
        <v>414</v>
      </c>
      <c r="W24" s="263"/>
      <c r="X24" s="263">
        <f t="shared" si="4"/>
        <v>0</v>
      </c>
      <c r="Y24" s="263"/>
      <c r="Z24" s="263"/>
      <c r="AB24" s="265" t="str">
        <f t="shared" si="5"/>
        <v>TinDowa</v>
      </c>
    </row>
    <row r="25" spans="1:28" s="264" customFormat="1" ht="76.5">
      <c r="A25" s="207" t="s">
        <v>679</v>
      </c>
      <c r="B25" s="208" t="s">
        <v>1130</v>
      </c>
      <c r="C25" s="356" t="s">
        <v>2524</v>
      </c>
      <c r="D25" s="270"/>
      <c r="E25" s="208" t="s">
        <v>15675</v>
      </c>
      <c r="F25" s="208" t="s">
        <v>679</v>
      </c>
      <c r="G25" s="208" t="s">
        <v>13320</v>
      </c>
      <c r="H25" s="357" t="s">
        <v>15699</v>
      </c>
      <c r="I25" s="358" t="s">
        <v>1595</v>
      </c>
      <c r="J25" s="358" t="s">
        <v>13923</v>
      </c>
      <c r="K25" s="260"/>
      <c r="L25" s="260"/>
      <c r="M25" s="260"/>
      <c r="N25" s="260"/>
      <c r="O25" s="260"/>
      <c r="P25" s="211"/>
      <c r="Q25" s="261"/>
      <c r="R25" s="208" t="str">
        <f ca="1">IF(ISERROR($V25),"",OFFSET('Smelter Look-up'!$C$4,$V25-4,0)&amp;"")</f>
        <v>Heraeus Metals Hong Kong Ltd.</v>
      </c>
      <c r="S25" s="215" t="str">
        <f t="shared" ca="1" si="3"/>
        <v>CN</v>
      </c>
      <c r="T25" s="215" t="str">
        <f ca="1">IF(B25="","",IF(ISERROR(MATCH($J25,SorP!$B$1:$B$6230,0)),"",INDIRECT("'SorP'!$A$"&amp;MATCH($J25,SorP!$B$1:$B$6230,0))))</f>
        <v/>
      </c>
      <c r="U25" s="231"/>
      <c r="V25" s="262">
        <f>IF(C25="",NA(),IF(OR(C25="Smelter not listed",C25="Smelter not yet identified"),MATCH($B25&amp;$D25,'Smelter Look-up'!$J:$J,0),MATCH($B25&amp;$C25,'Smelter Look-up'!$J:$J,0)))</f>
        <v>108</v>
      </c>
      <c r="W25" s="263"/>
      <c r="X25" s="263">
        <f t="shared" si="4"/>
        <v>0</v>
      </c>
      <c r="Y25" s="263"/>
      <c r="Z25" s="263"/>
      <c r="AB25" s="265" t="str">
        <f t="shared" si="5"/>
        <v>GoldHeraeus Metals Hong Kong Ltd.</v>
      </c>
    </row>
    <row r="26" spans="1:28" s="264" customFormat="1" ht="76.5">
      <c r="A26" s="207" t="s">
        <v>680</v>
      </c>
      <c r="B26" s="208" t="s">
        <v>1130</v>
      </c>
      <c r="C26" s="356" t="s">
        <v>1227</v>
      </c>
      <c r="D26" s="270"/>
      <c r="E26" s="208" t="s">
        <v>15669</v>
      </c>
      <c r="F26" s="208" t="s">
        <v>680</v>
      </c>
      <c r="G26" s="208" t="s">
        <v>13320</v>
      </c>
      <c r="H26" s="357" t="s">
        <v>15700</v>
      </c>
      <c r="I26" s="358" t="s">
        <v>1596</v>
      </c>
      <c r="J26" s="358" t="s">
        <v>4268</v>
      </c>
      <c r="K26" s="260"/>
      <c r="L26" s="260"/>
      <c r="M26" s="260"/>
      <c r="N26" s="260"/>
      <c r="O26" s="260"/>
      <c r="P26" s="211"/>
      <c r="Q26" s="261"/>
      <c r="R26" s="208" t="str">
        <f ca="1">IF(ISERROR($V26),"",OFFSET('Smelter Look-up'!$C$4,$V26-4,0)&amp;"")</f>
        <v>Heraeus Germany GmbH Co. KG</v>
      </c>
      <c r="S26" s="215" t="str">
        <f t="shared" ca="1" si="3"/>
        <v>DE</v>
      </c>
      <c r="T26" s="215" t="str">
        <f ca="1">IF(B26="","",IF(ISERROR(MATCH($J26,SorP!$B$1:$B$6230,0)),"",INDIRECT("'SorP'!$A$"&amp;MATCH($J26,SorP!$B$1:$B$6230,0))))</f>
        <v>DE-HE</v>
      </c>
      <c r="U26" s="231"/>
      <c r="V26" s="262">
        <f>IF(C26="",NA(),IF(OR(C26="Smelter not listed",C26="Smelter not yet identified"),MATCH($B26&amp;$D26,'Smelter Look-up'!$J:$J,0),MATCH($B26&amp;$C26,'Smelter Look-up'!$J:$J,0)))</f>
        <v>109</v>
      </c>
      <c r="W26" s="263"/>
      <c r="X26" s="263">
        <f t="shared" si="4"/>
        <v>0</v>
      </c>
      <c r="Y26" s="263"/>
      <c r="Z26" s="263"/>
      <c r="AB26" s="265" t="str">
        <f t="shared" si="5"/>
        <v>GoldHeraeus Precious Metals GmbH &amp; Co. KG</v>
      </c>
    </row>
    <row r="27" spans="1:28" s="264" customFormat="1" ht="51">
      <c r="A27" s="207" t="s">
        <v>775</v>
      </c>
      <c r="B27" s="208" t="s">
        <v>1131</v>
      </c>
      <c r="C27" s="356" t="s">
        <v>12509</v>
      </c>
      <c r="D27" s="270"/>
      <c r="E27" s="208" t="s">
        <v>15701</v>
      </c>
      <c r="F27" s="208" t="s">
        <v>775</v>
      </c>
      <c r="G27" s="208" t="s">
        <v>13320</v>
      </c>
      <c r="H27" s="357" t="s">
        <v>15702</v>
      </c>
      <c r="I27" s="358" t="s">
        <v>1796</v>
      </c>
      <c r="J27" s="358" t="s">
        <v>1682</v>
      </c>
      <c r="K27" s="260"/>
      <c r="L27" s="260"/>
      <c r="M27" s="260"/>
      <c r="N27" s="260"/>
      <c r="O27" s="260"/>
      <c r="P27" s="211"/>
      <c r="Q27" s="261"/>
      <c r="R27" s="208" t="str">
        <f ca="1">IF(ISERROR($V27),"",OFFSET('Smelter Look-up'!$C$4,$V27-4,0)&amp;"")</f>
        <v>Mineracao Taboca S.A.</v>
      </c>
      <c r="S27" s="215" t="str">
        <f t="shared" ca="1" si="3"/>
        <v>BR</v>
      </c>
      <c r="T27" s="215" t="str">
        <f ca="1">IF(B27="","",IF(ISERROR(MATCH($J27,SorP!$B$1:$B$6230,0)),"",INDIRECT("'SorP'!$A$"&amp;MATCH($J27,SorP!$B$1:$B$6230,0))))</f>
        <v>BR-SP</v>
      </c>
      <c r="U27" s="231"/>
      <c r="V27" s="262">
        <f>IF(C27="",NA(),IF(OR(C27="Smelter not listed",C27="Smelter not yet identified"),MATCH($B27&amp;$D27,'Smelter Look-up'!$J:$J,0),MATCH($B27&amp;$C27,'Smelter Look-up'!$J:$J,0)))</f>
        <v>464</v>
      </c>
      <c r="W27" s="263"/>
      <c r="X27" s="263">
        <f t="shared" si="4"/>
        <v>0</v>
      </c>
      <c r="Y27" s="263"/>
      <c r="Z27" s="263"/>
      <c r="AB27" s="265" t="str">
        <f t="shared" si="5"/>
        <v>TinMineracao Taboca S.A.</v>
      </c>
    </row>
    <row r="28" spans="1:28" s="264" customFormat="1" ht="25.5">
      <c r="A28" s="207" t="s">
        <v>776</v>
      </c>
      <c r="B28" s="208" t="s">
        <v>1131</v>
      </c>
      <c r="C28" s="356" t="s">
        <v>1034</v>
      </c>
      <c r="D28" s="270"/>
      <c r="E28" s="208" t="s">
        <v>15703</v>
      </c>
      <c r="F28" s="208" t="s">
        <v>776</v>
      </c>
      <c r="G28" s="208" t="s">
        <v>13320</v>
      </c>
      <c r="H28" s="357" t="s">
        <v>15704</v>
      </c>
      <c r="I28" s="358" t="s">
        <v>1798</v>
      </c>
      <c r="J28" s="358" t="s">
        <v>9194</v>
      </c>
      <c r="K28" s="260"/>
      <c r="L28" s="260"/>
      <c r="M28" s="260"/>
      <c r="N28" s="260"/>
      <c r="O28" s="260"/>
      <c r="P28" s="211"/>
      <c r="Q28" s="261"/>
      <c r="R28" s="208" t="str">
        <f ca="1">IF(ISERROR($V28),"",OFFSET('Smelter Look-up'!$C$4,$V28-4,0)&amp;"")</f>
        <v>Minsur</v>
      </c>
      <c r="S28" s="215" t="str">
        <f t="shared" ca="1" si="3"/>
        <v>PE</v>
      </c>
      <c r="T28" s="215" t="str">
        <f ca="1">IF(B28="","",IF(ISERROR(MATCH($J28,SorP!$B$1:$B$6230,0)),"",INDIRECT("'SorP'!$A$"&amp;MATCH($J28,SorP!$B$1:$B$6230,0))))</f>
        <v>PE-ICA</v>
      </c>
      <c r="U28" s="231"/>
      <c r="V28" s="262">
        <f>IF(C28="",NA(),IF(OR(C28="Smelter not listed",C28="Smelter not yet identified"),MATCH($B28&amp;$D28,'Smelter Look-up'!$J:$J,0),MATCH($B28&amp;$C28,'Smelter Look-up'!$J:$J,0)))</f>
        <v>468</v>
      </c>
      <c r="W28" s="263"/>
      <c r="X28" s="263">
        <f t="shared" si="4"/>
        <v>0</v>
      </c>
      <c r="Y28" s="263"/>
      <c r="Z28" s="263"/>
      <c r="AB28" s="265" t="str">
        <f t="shared" si="5"/>
        <v>TinMinsur</v>
      </c>
    </row>
    <row r="29" spans="1:28" s="264" customFormat="1" ht="63.75">
      <c r="A29" s="207" t="s">
        <v>1801</v>
      </c>
      <c r="B29" s="208" t="s">
        <v>1131</v>
      </c>
      <c r="C29" s="356" t="s">
        <v>13261</v>
      </c>
      <c r="D29" s="270"/>
      <c r="E29" s="208" t="s">
        <v>15675</v>
      </c>
      <c r="F29" s="208" t="s">
        <v>1801</v>
      </c>
      <c r="G29" s="208" t="s">
        <v>13320</v>
      </c>
      <c r="H29" s="357" t="s">
        <v>15705</v>
      </c>
      <c r="I29" s="358" t="s">
        <v>1786</v>
      </c>
      <c r="J29" s="358" t="s">
        <v>13699</v>
      </c>
      <c r="K29" s="260"/>
      <c r="L29" s="260"/>
      <c r="M29" s="260"/>
      <c r="N29" s="260"/>
      <c r="O29" s="260"/>
      <c r="P29" s="211"/>
      <c r="Q29" s="261"/>
      <c r="R29" s="208" t="str">
        <f ca="1">IF(ISERROR($V29),"",OFFSET('Smelter Look-up'!$C$4,$V29-4,0)&amp;"")</f>
        <v>Jiangxi New Nanshan Technology Ltd.</v>
      </c>
      <c r="S29" s="215" t="str">
        <f t="shared" ca="1" si="3"/>
        <v>CN</v>
      </c>
      <c r="T29" s="215" t="str">
        <f ca="1">IF(B29="","",IF(ISERROR(MATCH($J29,SorP!$B$1:$B$6230,0)),"",INDIRECT("'SorP'!$A$"&amp;MATCH($J29,SorP!$B$1:$B$6230,0))))</f>
        <v>CN-JX</v>
      </c>
      <c r="U29" s="231"/>
      <c r="V29" s="262">
        <f>IF(C29="",NA(),IF(OR(C29="Smelter not listed",C29="Smelter not yet identified"),MATCH($B29&amp;$D29,'Smelter Look-up'!$J:$J,0),MATCH($B29&amp;$C29,'Smelter Look-up'!$J:$J,0)))</f>
        <v>448</v>
      </c>
      <c r="W29" s="263"/>
      <c r="X29" s="263">
        <f t="shared" si="4"/>
        <v>0</v>
      </c>
      <c r="Y29" s="263"/>
      <c r="Z29" s="263"/>
      <c r="AB29" s="265" t="str">
        <f t="shared" si="5"/>
        <v>TinJiangxi New Nanshan Technology Ltd.</v>
      </c>
    </row>
    <row r="30" spans="1:28" s="264" customFormat="1" ht="63.75">
      <c r="A30" s="207" t="s">
        <v>687</v>
      </c>
      <c r="B30" s="208" t="s">
        <v>1130</v>
      </c>
      <c r="C30" s="356" t="s">
        <v>2321</v>
      </c>
      <c r="D30" s="270"/>
      <c r="E30" s="208" t="s">
        <v>15675</v>
      </c>
      <c r="F30" s="208" t="s">
        <v>687</v>
      </c>
      <c r="G30" s="208" t="s">
        <v>13320</v>
      </c>
      <c r="H30" s="357" t="s">
        <v>15706</v>
      </c>
      <c r="I30" s="358" t="s">
        <v>1604</v>
      </c>
      <c r="J30" s="358" t="s">
        <v>13699</v>
      </c>
      <c r="K30" s="260"/>
      <c r="L30" s="260"/>
      <c r="M30" s="260"/>
      <c r="N30" s="260"/>
      <c r="O30" s="260"/>
      <c r="P30" s="211"/>
      <c r="Q30" s="261"/>
      <c r="R30" s="208" t="str">
        <f ca="1">IF(ISERROR($V30),"",OFFSET('Smelter Look-up'!$C$4,$V30-4,0)&amp;"")</f>
        <v>Jiangxi Copper Co., Ltd.</v>
      </c>
      <c r="S30" s="215" t="str">
        <f t="shared" ca="1" si="3"/>
        <v>CN</v>
      </c>
      <c r="T30" s="215" t="str">
        <f ca="1">IF(B30="","",IF(ISERROR(MATCH($J30,SorP!$B$1:$B$6230,0)),"",INDIRECT("'SorP'!$A$"&amp;MATCH($J30,SorP!$B$1:$B$6230,0))))</f>
        <v>CN-JX</v>
      </c>
      <c r="U30" s="231"/>
      <c r="V30" s="262">
        <f>IF(C30="",NA(),IF(OR(C30="Smelter not listed",C30="Smelter not yet identified"),MATCH($B30&amp;$D30,'Smelter Look-up'!$J:$J,0),MATCH($B30&amp;$C30,'Smelter Look-up'!$J:$J,0)))</f>
        <v>125</v>
      </c>
      <c r="W30" s="263"/>
      <c r="X30" s="263">
        <f t="shared" si="4"/>
        <v>0</v>
      </c>
      <c r="Y30" s="263"/>
      <c r="Z30" s="263"/>
      <c r="AB30" s="265" t="str">
        <f t="shared" si="5"/>
        <v>GoldJiangxi Copper Co., Ltd.</v>
      </c>
    </row>
    <row r="31" spans="1:28" s="264" customFormat="1" ht="51">
      <c r="A31" s="207" t="s">
        <v>700</v>
      </c>
      <c r="B31" s="208" t="s">
        <v>1130</v>
      </c>
      <c r="C31" s="356" t="s">
        <v>56</v>
      </c>
      <c r="D31" s="270"/>
      <c r="E31" s="208" t="s">
        <v>15707</v>
      </c>
      <c r="F31" s="208" t="s">
        <v>700</v>
      </c>
      <c r="G31" s="208" t="s">
        <v>13320</v>
      </c>
      <c r="H31" s="357" t="s">
        <v>15708</v>
      </c>
      <c r="I31" s="358" t="s">
        <v>1620</v>
      </c>
      <c r="J31" s="358" t="s">
        <v>12946</v>
      </c>
      <c r="K31" s="260"/>
      <c r="L31" s="260"/>
      <c r="M31" s="260"/>
      <c r="N31" s="260"/>
      <c r="O31" s="260"/>
      <c r="P31" s="211"/>
      <c r="Q31" s="261"/>
      <c r="R31" s="208" t="str">
        <f ca="1">IF(ISERROR($V31),"",OFFSET('Smelter Look-up'!$C$4,$V31-4,0)&amp;"")</f>
        <v>LS-NIKKO Copper Inc.</v>
      </c>
      <c r="S31" s="215" t="str">
        <f t="shared" ca="1" si="3"/>
        <v>KR</v>
      </c>
      <c r="T31" s="215" t="str">
        <f ca="1">IF(B31="","",IF(ISERROR(MATCH($J31,SorP!$B$1:$B$6230,0)),"",INDIRECT("'SorP'!$A$"&amp;MATCH($J31,SorP!$B$1:$B$6230,0))))</f>
        <v>KR-31</v>
      </c>
      <c r="U31" s="231"/>
      <c r="V31" s="262">
        <f>IF(C31="",NA(),IF(OR(C31="Smelter not listed",C31="Smelter not yet identified"),MATCH($B31&amp;$D31,'Smelter Look-up'!$J:$J,0),MATCH($B31&amp;$C31,'Smelter Look-up'!$J:$J,0)))</f>
        <v>158</v>
      </c>
      <c r="W31" s="263"/>
      <c r="X31" s="263">
        <f t="shared" si="4"/>
        <v>0</v>
      </c>
      <c r="Y31" s="263"/>
      <c r="Z31" s="263"/>
      <c r="AB31" s="265" t="str">
        <f t="shared" si="5"/>
        <v>GoldLS-NIKKO Copper Inc.</v>
      </c>
    </row>
    <row r="32" spans="1:28" s="264" customFormat="1" ht="63.75">
      <c r="A32" s="207" t="s">
        <v>696</v>
      </c>
      <c r="B32" s="208" t="s">
        <v>1130</v>
      </c>
      <c r="C32" s="356" t="s">
        <v>2161</v>
      </c>
      <c r="D32" s="270"/>
      <c r="E32" s="208" t="s">
        <v>15679</v>
      </c>
      <c r="F32" s="208" t="s">
        <v>696</v>
      </c>
      <c r="G32" s="208" t="s">
        <v>13320</v>
      </c>
      <c r="H32" s="357" t="s">
        <v>15709</v>
      </c>
      <c r="I32" s="358" t="s">
        <v>1615</v>
      </c>
      <c r="J32" s="358" t="s">
        <v>1587</v>
      </c>
      <c r="K32" s="260"/>
      <c r="L32" s="260"/>
      <c r="M32" s="260"/>
      <c r="N32" s="260"/>
      <c r="O32" s="260"/>
      <c r="P32" s="211"/>
      <c r="Q32" s="261"/>
      <c r="R32" s="208" t="str">
        <f ca="1">IF(ISERROR($V32),"",OFFSET('Smelter Look-up'!$C$4,$V32-4,0)&amp;"")</f>
        <v>Kojima Chemicals Co., Ltd.</v>
      </c>
      <c r="S32" s="215" t="str">
        <f t="shared" ca="1" si="3"/>
        <v>JP</v>
      </c>
      <c r="T32" s="215" t="str">
        <f ca="1">IF(B32="","",IF(ISERROR(MATCH($J32,SorP!$B$1:$B$6230,0)),"",INDIRECT("'SorP'!$A$"&amp;MATCH($J32,SorP!$B$1:$B$6230,0))))</f>
        <v>JP-11</v>
      </c>
      <c r="U32" s="231"/>
      <c r="V32" s="262">
        <f>IF(C32="",NA(),IF(OR(C32="Smelter not listed",C32="Smelter not yet identified"),MATCH($B32&amp;$D32,'Smelter Look-up'!$J:$J,0),MATCH($B32&amp;$C32,'Smelter Look-up'!$J:$J,0)))</f>
        <v>142</v>
      </c>
      <c r="W32" s="263"/>
      <c r="X32" s="263">
        <f t="shared" si="4"/>
        <v>0</v>
      </c>
      <c r="Y32" s="263"/>
      <c r="Z32" s="263"/>
      <c r="AB32" s="265" t="str">
        <f t="shared" si="5"/>
        <v>GoldKojima Chemicals Co., Ltd.</v>
      </c>
    </row>
    <row r="33" spans="1:28" s="264" customFormat="1" ht="63.75">
      <c r="A33" s="207" t="s">
        <v>708</v>
      </c>
      <c r="B33" s="208" t="s">
        <v>1130</v>
      </c>
      <c r="C33" s="356" t="s">
        <v>1229</v>
      </c>
      <c r="D33" s="270"/>
      <c r="E33" s="208" t="s">
        <v>15693</v>
      </c>
      <c r="F33" s="208" t="s">
        <v>708</v>
      </c>
      <c r="G33" s="208" t="s">
        <v>13320</v>
      </c>
      <c r="H33" s="357" t="s">
        <v>15710</v>
      </c>
      <c r="I33" s="358" t="s">
        <v>1631</v>
      </c>
      <c r="J33" s="358" t="s">
        <v>1632</v>
      </c>
      <c r="K33" s="260"/>
      <c r="L33" s="260"/>
      <c r="M33" s="260"/>
      <c r="N33" s="260"/>
      <c r="O33" s="260"/>
      <c r="P33" s="211"/>
      <c r="Q33" s="261"/>
      <c r="R33" s="208" t="str">
        <f ca="1">IF(ISERROR($V33),"",OFFSET('Smelter Look-up'!$C$4,$V33-4,0)&amp;"")</f>
        <v>Metalor USA Refining Corporation</v>
      </c>
      <c r="S33" s="215" t="str">
        <f t="shared" ca="1" si="3"/>
        <v>US</v>
      </c>
      <c r="T33" s="215" t="str">
        <f ca="1">IF(B33="","",IF(ISERROR(MATCH($J33,SorP!$B$1:$B$6230,0)),"",INDIRECT("'SorP'!$A$"&amp;MATCH($J33,SorP!$B$1:$B$6230,0))))</f>
        <v>US-MA</v>
      </c>
      <c r="U33" s="231"/>
      <c r="V33" s="262">
        <f>IF(C33="",NA(),IF(OR(C33="Smelter not listed",C33="Smelter not yet identified"),MATCH($B33&amp;$D33,'Smelter Look-up'!$J:$J,0),MATCH($B33&amp;$C33,'Smelter Look-up'!$J:$J,0)))</f>
        <v>177</v>
      </c>
      <c r="W33" s="263"/>
      <c r="X33" s="263">
        <f t="shared" si="4"/>
        <v>0</v>
      </c>
      <c r="Y33" s="263"/>
      <c r="Z33" s="263"/>
      <c r="AB33" s="265" t="str">
        <f t="shared" si="5"/>
        <v>GoldMetalor USA Refining Corporation</v>
      </c>
    </row>
    <row r="34" spans="1:28" s="264" customFormat="1" ht="63.75">
      <c r="A34" s="207" t="s">
        <v>704</v>
      </c>
      <c r="B34" s="208" t="s">
        <v>1130</v>
      </c>
      <c r="C34" s="356" t="s">
        <v>57</v>
      </c>
      <c r="D34" s="270"/>
      <c r="E34" s="208" t="s">
        <v>15679</v>
      </c>
      <c r="F34" s="208" t="s">
        <v>704</v>
      </c>
      <c r="G34" s="208" t="s">
        <v>13320</v>
      </c>
      <c r="H34" s="357" t="s">
        <v>15711</v>
      </c>
      <c r="I34" s="358" t="s">
        <v>1625</v>
      </c>
      <c r="J34" s="358" t="s">
        <v>1587</v>
      </c>
      <c r="K34" s="260"/>
      <c r="L34" s="260"/>
      <c r="M34" s="260"/>
      <c r="N34" s="260"/>
      <c r="O34" s="260"/>
      <c r="P34" s="211"/>
      <c r="Q34" s="261"/>
      <c r="R34" s="208" t="str">
        <f ca="1">IF(ISERROR($V34),"",OFFSET('Smelter Look-up'!$C$4,$V34-4,0)&amp;"")</f>
        <v>Matsuda Sangyo Co., Ltd.</v>
      </c>
      <c r="S34" s="215" t="str">
        <f t="shared" ca="1" si="3"/>
        <v>JP</v>
      </c>
      <c r="T34" s="215" t="str">
        <f ca="1">IF(B34="","",IF(ISERROR(MATCH($J34,SorP!$B$1:$B$6230,0)),"",INDIRECT("'SorP'!$A$"&amp;MATCH($J34,SorP!$B$1:$B$6230,0))))</f>
        <v>JP-11</v>
      </c>
      <c r="U34" s="231"/>
      <c r="V34" s="262">
        <f>IF(C34="",NA(),IF(OR(C34="Smelter not listed",C34="Smelter not yet identified"),MATCH($B34&amp;$D34,'Smelter Look-up'!$J:$J,0),MATCH($B34&amp;$C34,'Smelter Look-up'!$J:$J,0)))</f>
        <v>165</v>
      </c>
      <c r="W34" s="263"/>
      <c r="X34" s="263">
        <f t="shared" si="4"/>
        <v>0</v>
      </c>
      <c r="Y34" s="263"/>
      <c r="Z34" s="263"/>
      <c r="AB34" s="265" t="str">
        <f t="shared" si="5"/>
        <v>GoldMatsuda Sangyo Co., Ltd.</v>
      </c>
    </row>
    <row r="35" spans="1:28" s="264" customFormat="1" ht="51">
      <c r="A35" s="207" t="s">
        <v>1794</v>
      </c>
      <c r="B35" s="208" t="s">
        <v>1131</v>
      </c>
      <c r="C35" s="356" t="s">
        <v>2163</v>
      </c>
      <c r="D35" s="270"/>
      <c r="E35" s="208" t="s">
        <v>15693</v>
      </c>
      <c r="F35" s="208" t="s">
        <v>1794</v>
      </c>
      <c r="G35" s="208" t="s">
        <v>13320</v>
      </c>
      <c r="H35" s="357" t="s">
        <v>15712</v>
      </c>
      <c r="I35" s="358" t="s">
        <v>1795</v>
      </c>
      <c r="J35" s="358" t="s">
        <v>1642</v>
      </c>
      <c r="K35" s="260"/>
      <c r="L35" s="260"/>
      <c r="M35" s="260"/>
      <c r="N35" s="260"/>
      <c r="O35" s="260"/>
      <c r="P35" s="211"/>
      <c r="Q35" s="261"/>
      <c r="R35" s="208" t="str">
        <f ca="1">IF(ISERROR($V35),"",OFFSET('Smelter Look-up'!$C$4,$V35-4,0)&amp;"")</f>
        <v>Metallic Resources, Inc.</v>
      </c>
      <c r="S35" s="215" t="str">
        <f t="shared" ca="1" si="3"/>
        <v>US</v>
      </c>
      <c r="T35" s="215" t="str">
        <f ca="1">IF(B35="","",IF(ISERROR(MATCH($J35,SorP!$B$1:$B$6230,0)),"",INDIRECT("'SorP'!$A$"&amp;MATCH($J35,SorP!$B$1:$B$6230,0))))</f>
        <v>US-OH</v>
      </c>
      <c r="U35" s="231"/>
      <c r="V35" s="262">
        <f>IF(C35="",NA(),IF(OR(C35="Smelter not listed",C35="Smelter not yet identified"),MATCH($B35&amp;$D35,'Smelter Look-up'!$J:$J,0),MATCH($B35&amp;$C35,'Smelter Look-up'!$J:$J,0)))</f>
        <v>461</v>
      </c>
      <c r="W35" s="263"/>
      <c r="X35" s="263">
        <f t="shared" si="4"/>
        <v>0</v>
      </c>
      <c r="Y35" s="263"/>
      <c r="Z35" s="263"/>
      <c r="AB35" s="265" t="str">
        <f t="shared" si="5"/>
        <v>TinMetallic Resources, Inc.</v>
      </c>
    </row>
    <row r="36" spans="1:28" s="264" customFormat="1" ht="76.5">
      <c r="A36" s="207" t="s">
        <v>1627</v>
      </c>
      <c r="B36" s="208" t="s">
        <v>1130</v>
      </c>
      <c r="C36" s="356" t="s">
        <v>1626</v>
      </c>
      <c r="D36" s="270"/>
      <c r="E36" s="208" t="s">
        <v>15675</v>
      </c>
      <c r="F36" s="208" t="s">
        <v>1627</v>
      </c>
      <c r="G36" s="208" t="s">
        <v>13320</v>
      </c>
      <c r="H36" s="357" t="s">
        <v>15713</v>
      </c>
      <c r="I36" s="358" t="s">
        <v>2536</v>
      </c>
      <c r="J36" s="358" t="s">
        <v>13712</v>
      </c>
      <c r="K36" s="260"/>
      <c r="L36" s="260"/>
      <c r="M36" s="260"/>
      <c r="N36" s="260"/>
      <c r="O36" s="260"/>
      <c r="P36" s="211"/>
      <c r="Q36" s="261"/>
      <c r="R36" s="208" t="str">
        <f ca="1">IF(ISERROR($V36),"",OFFSET('Smelter Look-up'!$C$4,$V36-4,0)&amp;"")</f>
        <v>Metalor Technologies (Suzhou) Ltd.</v>
      </c>
      <c r="S36" s="215" t="str">
        <f t="shared" ca="1" si="3"/>
        <v>CN</v>
      </c>
      <c r="T36" s="215" t="str">
        <f ca="1">IF(B36="","",IF(ISERROR(MATCH($J36,SorP!$B$1:$B$6230,0)),"",INDIRECT("'SorP'!$A$"&amp;MATCH($J36,SorP!$B$1:$B$6230,0))))</f>
        <v>CN-JS</v>
      </c>
      <c r="U36" s="231"/>
      <c r="V36" s="262">
        <f>IF(C36="",NA(),IF(OR(C36="Smelter not listed",C36="Smelter not yet identified"),MATCH($B36&amp;$D36,'Smelter Look-up'!$J:$J,0),MATCH($B36&amp;$C36,'Smelter Look-up'!$J:$J,0)))</f>
        <v>175</v>
      </c>
      <c r="W36" s="263"/>
      <c r="X36" s="263">
        <f t="shared" si="4"/>
        <v>0</v>
      </c>
      <c r="Y36" s="263"/>
      <c r="Z36" s="263"/>
      <c r="AB36" s="265" t="str">
        <f t="shared" si="5"/>
        <v>GoldMetalor Technologies (Suzhou) Ltd.</v>
      </c>
    </row>
    <row r="37" spans="1:28" s="264" customFormat="1" ht="89.25">
      <c r="A37" s="207" t="s">
        <v>716</v>
      </c>
      <c r="B37" s="208" t="s">
        <v>1130</v>
      </c>
      <c r="C37" s="356" t="s">
        <v>2169</v>
      </c>
      <c r="D37" s="270"/>
      <c r="E37" s="208" t="s">
        <v>15679</v>
      </c>
      <c r="F37" s="208" t="s">
        <v>716</v>
      </c>
      <c r="G37" s="208" t="s">
        <v>13320</v>
      </c>
      <c r="H37" s="357" t="s">
        <v>15714</v>
      </c>
      <c r="I37" s="358" t="s">
        <v>1643</v>
      </c>
      <c r="J37" s="358" t="s">
        <v>1644</v>
      </c>
      <c r="K37" s="260"/>
      <c r="L37" s="260"/>
      <c r="M37" s="260"/>
      <c r="N37" s="260"/>
      <c r="O37" s="260"/>
      <c r="P37" s="211"/>
      <c r="Q37" s="261"/>
      <c r="R37" s="208" t="str">
        <f ca="1">IF(ISERROR($V37),"",OFFSET('Smelter Look-up'!$C$4,$V37-4,0)&amp;"")</f>
        <v>Ohura Precious Metal Industry Co., Ltd.</v>
      </c>
      <c r="S37" s="215" t="str">
        <f t="shared" ca="1" si="3"/>
        <v>JP</v>
      </c>
      <c r="T37" s="215" t="str">
        <f ca="1">IF(B37="","",IF(ISERROR(MATCH($J37,SorP!$B$1:$B$6230,0)),"",INDIRECT("'SorP'!$A$"&amp;MATCH($J37,SorP!$B$1:$B$6230,0))))</f>
        <v>JP-29</v>
      </c>
      <c r="U37" s="231"/>
      <c r="V37" s="262">
        <f>IF(C37="",NA(),IF(OR(C37="Smelter not listed",C37="Smelter not yet identified"),MATCH($B37&amp;$D37,'Smelter Look-up'!$J:$J,0),MATCH($B37&amp;$C37,'Smelter Look-up'!$J:$J,0)))</f>
        <v>198</v>
      </c>
      <c r="W37" s="263"/>
      <c r="X37" s="263">
        <f t="shared" si="4"/>
        <v>0</v>
      </c>
      <c r="Y37" s="263"/>
      <c r="Z37" s="263"/>
      <c r="AB37" s="265" t="str">
        <f t="shared" si="5"/>
        <v>GoldOhura Precious Metal Industry Co., Ltd.</v>
      </c>
    </row>
    <row r="38" spans="1:28" s="264" customFormat="1" ht="63.75">
      <c r="A38" s="207" t="s">
        <v>15211</v>
      </c>
      <c r="B38" s="208" t="s">
        <v>1131</v>
      </c>
      <c r="C38" s="356" t="s">
        <v>15210</v>
      </c>
      <c r="D38" s="270"/>
      <c r="E38" s="208" t="s">
        <v>15677</v>
      </c>
      <c r="F38" s="208" t="s">
        <v>15211</v>
      </c>
      <c r="G38" s="208" t="s">
        <v>13320</v>
      </c>
      <c r="H38" s="357" t="s">
        <v>15715</v>
      </c>
      <c r="I38" s="358" t="s">
        <v>15251</v>
      </c>
      <c r="J38" s="358" t="s">
        <v>12931</v>
      </c>
      <c r="K38" s="260"/>
      <c r="L38" s="260"/>
      <c r="M38" s="260"/>
      <c r="N38" s="260"/>
      <c r="O38" s="260"/>
      <c r="P38" s="211"/>
      <c r="Q38" s="261"/>
      <c r="R38" s="208" t="str">
        <f ca="1">IF(ISERROR($V38),"",OFFSET('Smelter Look-up'!$C$4,$V38-4,0)&amp;"")</f>
        <v>PT Babel Surya Alam Lestari</v>
      </c>
      <c r="S38" s="215" t="str">
        <f t="shared" ref="S38:S68" ca="1" si="6">IF(B38="","",IF(ISERROR(MATCH($E38,CL,0)),"Unknown",INDIRECT("'C'!$A$"&amp;MATCH($E38,CL,0)+1)))</f>
        <v>ID</v>
      </c>
      <c r="T38" s="215" t="str">
        <f ca="1">IF(B38="","",IF(ISERROR(MATCH($J38,SorP!$B$1:$B$6230,0)),"",INDIRECT("'SorP'!$A$"&amp;MATCH($J38,SorP!$B$1:$B$6230,0))))</f>
        <v>ID-BB</v>
      </c>
      <c r="U38" s="231"/>
      <c r="V38" s="262">
        <f>IF(C38="",NA(),IF(OR(C38="Smelter not listed",C38="Smelter not yet identified"),MATCH($B38&amp;$D38,'Smelter Look-up'!$J:$J,0),MATCH($B38&amp;$C38,'Smelter Look-up'!$J:$J,0)))</f>
        <v>487</v>
      </c>
      <c r="W38" s="263"/>
      <c r="X38" s="263">
        <f t="shared" ref="X38:X68" si="7">IF(AND(C38="Smelter not listed",OR(LEN(D38)=0,LEN(E38)=0)),1,0)</f>
        <v>0</v>
      </c>
      <c r="Y38" s="263"/>
      <c r="Z38" s="263"/>
      <c r="AB38" s="265" t="str">
        <f t="shared" ref="AB38:AB68" si="8">B38&amp;C38</f>
        <v>TinPT Babel Surya Alam Lestari</v>
      </c>
    </row>
    <row r="39" spans="1:28" s="264" customFormat="1" ht="51">
      <c r="A39" s="207" t="s">
        <v>15219</v>
      </c>
      <c r="B39" s="208" t="s">
        <v>1131</v>
      </c>
      <c r="C39" s="356" t="s">
        <v>15218</v>
      </c>
      <c r="D39" s="270"/>
      <c r="E39" s="208" t="s">
        <v>15677</v>
      </c>
      <c r="F39" s="208" t="s">
        <v>15219</v>
      </c>
      <c r="G39" s="208" t="s">
        <v>13320</v>
      </c>
      <c r="H39" s="357"/>
      <c r="I39" s="358" t="s">
        <v>15248</v>
      </c>
      <c r="J39" s="358" t="s">
        <v>12931</v>
      </c>
      <c r="K39" s="260"/>
      <c r="L39" s="260"/>
      <c r="M39" s="260"/>
      <c r="N39" s="260"/>
      <c r="O39" s="260"/>
      <c r="P39" s="211"/>
      <c r="Q39" s="261"/>
      <c r="R39" s="208" t="str">
        <f ca="1">IF(ISERROR($V39),"",OFFSET('Smelter Look-up'!$C$4,$V39-4,0)&amp;"")</f>
        <v>PT Stanindo Inti Perkasa</v>
      </c>
      <c r="S39" s="215" t="str">
        <f t="shared" ca="1" si="6"/>
        <v>ID</v>
      </c>
      <c r="T39" s="215" t="str">
        <f ca="1">IF(B39="","",IF(ISERROR(MATCH($J39,SorP!$B$1:$B$6230,0)),"",INDIRECT("'SorP'!$A$"&amp;MATCH($J39,SorP!$B$1:$B$6230,0))))</f>
        <v>ID-BB</v>
      </c>
      <c r="U39" s="231"/>
      <c r="V39" s="262">
        <f>IF(C39="",NA(),IF(OR(C39="Smelter not listed",C39="Smelter not yet identified"),MATCH($B39&amp;$D39,'Smelter Look-up'!$J:$J,0),MATCH($B39&amp;$C39,'Smelter Look-up'!$J:$J,0)))</f>
        <v>504</v>
      </c>
      <c r="W39" s="263"/>
      <c r="X39" s="263">
        <f t="shared" si="7"/>
        <v>0</v>
      </c>
      <c r="Y39" s="263"/>
      <c r="Z39" s="263"/>
      <c r="AB39" s="265" t="str">
        <f t="shared" si="8"/>
        <v>TinPT Stanindo Inti Perkasa</v>
      </c>
    </row>
    <row r="40" spans="1:28" s="264" customFormat="1" ht="76.5">
      <c r="A40" s="207" t="s">
        <v>779</v>
      </c>
      <c r="B40" s="208" t="s">
        <v>1131</v>
      </c>
      <c r="C40" s="356" t="s">
        <v>778</v>
      </c>
      <c r="D40" s="270"/>
      <c r="E40" s="208" t="s">
        <v>15716</v>
      </c>
      <c r="F40" s="208" t="s">
        <v>779</v>
      </c>
      <c r="G40" s="208" t="s">
        <v>13320</v>
      </c>
      <c r="H40" s="357" t="s">
        <v>15717</v>
      </c>
      <c r="I40" s="358" t="s">
        <v>2363</v>
      </c>
      <c r="J40" s="358" t="s">
        <v>11104</v>
      </c>
      <c r="K40" s="260"/>
      <c r="L40" s="260"/>
      <c r="M40" s="260"/>
      <c r="N40" s="260"/>
      <c r="O40" s="260"/>
      <c r="P40" s="211"/>
      <c r="Q40" s="261"/>
      <c r="R40" s="208" t="str">
        <f ca="1">IF(ISERROR($V40),"",OFFSET('Smelter Look-up'!$C$4,$V40-4,0)&amp;"")</f>
        <v>O.M. Manufacturing (Thailand) Co., Ltd.</v>
      </c>
      <c r="S40" s="215" t="str">
        <f t="shared" ca="1" si="6"/>
        <v>TH</v>
      </c>
      <c r="T40" s="215" t="str">
        <f ca="1">IF(B40="","",IF(ISERROR(MATCH($J40,SorP!$B$1:$B$6230,0)),"",INDIRECT("'SorP'!$A$"&amp;MATCH($J40,SorP!$B$1:$B$6230,0))))</f>
        <v>TH-20</v>
      </c>
      <c r="U40" s="231"/>
      <c r="V40" s="262">
        <f>IF(C40="",NA(),IF(OR(C40="Smelter not listed",C40="Smelter not yet identified"),MATCH($B40&amp;$D40,'Smelter Look-up'!$J:$J,0),MATCH($B40&amp;$C40,'Smelter Look-up'!$J:$J,0)))</f>
        <v>476</v>
      </c>
      <c r="W40" s="263"/>
      <c r="X40" s="263">
        <f t="shared" si="7"/>
        <v>0</v>
      </c>
      <c r="Y40" s="263"/>
      <c r="Z40" s="263"/>
      <c r="AB40" s="265" t="str">
        <f t="shared" si="8"/>
        <v>TinO.M. Manufacturing (Thailand) Co., Ltd.</v>
      </c>
    </row>
    <row r="41" spans="1:28" s="264" customFormat="1" ht="63.75">
      <c r="A41" s="207" t="s">
        <v>15215</v>
      </c>
      <c r="B41" s="208" t="s">
        <v>1131</v>
      </c>
      <c r="C41" s="356" t="s">
        <v>15214</v>
      </c>
      <c r="D41" s="270"/>
      <c r="E41" s="208" t="s">
        <v>15677</v>
      </c>
      <c r="F41" s="208" t="s">
        <v>15215</v>
      </c>
      <c r="G41" s="208" t="s">
        <v>13320</v>
      </c>
      <c r="H41" s="357" t="s">
        <v>15718</v>
      </c>
      <c r="I41" s="358" t="s">
        <v>15248</v>
      </c>
      <c r="J41" s="358" t="s">
        <v>12931</v>
      </c>
      <c r="K41" s="260"/>
      <c r="L41" s="260"/>
      <c r="M41" s="260"/>
      <c r="N41" s="260"/>
      <c r="O41" s="260"/>
      <c r="P41" s="211"/>
      <c r="Q41" s="261"/>
      <c r="R41" s="208" t="str">
        <f ca="1">IF(ISERROR($V41),"",OFFSET('Smelter Look-up'!$C$4,$V41-4,0)&amp;"")</f>
        <v>PT Prima Timah Utama</v>
      </c>
      <c r="S41" s="215" t="str">
        <f t="shared" ca="1" si="6"/>
        <v>ID</v>
      </c>
      <c r="T41" s="215" t="str">
        <f ca="1">IF(B41="","",IF(ISERROR(MATCH($J41,SorP!$B$1:$B$6230,0)),"",INDIRECT("'SorP'!$A$"&amp;MATCH($J41,SorP!$B$1:$B$6230,0))))</f>
        <v>ID-BB</v>
      </c>
      <c r="U41" s="231"/>
      <c r="V41" s="262">
        <f>IF(C41="",NA(),IF(OR(C41="Smelter not listed",C41="Smelter not yet identified"),MATCH($B41&amp;$D41,'Smelter Look-up'!$J:$J,0),MATCH($B41&amp;$C41,'Smelter Look-up'!$J:$J,0)))</f>
        <v>499</v>
      </c>
      <c r="W41" s="263"/>
      <c r="X41" s="263">
        <f t="shared" si="7"/>
        <v>0</v>
      </c>
      <c r="Y41" s="263"/>
      <c r="Z41" s="263"/>
      <c r="AB41" s="265" t="str">
        <f t="shared" si="8"/>
        <v>TinPT Prima Timah Utama</v>
      </c>
    </row>
    <row r="42" spans="1:28" s="264" customFormat="1" ht="63.75">
      <c r="A42" s="207" t="s">
        <v>783</v>
      </c>
      <c r="B42" s="208" t="s">
        <v>1131</v>
      </c>
      <c r="C42" s="356" t="s">
        <v>2171</v>
      </c>
      <c r="D42" s="270"/>
      <c r="E42" s="208" t="s">
        <v>15677</v>
      </c>
      <c r="F42" s="208" t="s">
        <v>783</v>
      </c>
      <c r="G42" s="208" t="s">
        <v>13320</v>
      </c>
      <c r="H42" s="357" t="s">
        <v>15719</v>
      </c>
      <c r="I42" s="358" t="s">
        <v>1779</v>
      </c>
      <c r="J42" s="358" t="s">
        <v>12931</v>
      </c>
      <c r="K42" s="260"/>
      <c r="L42" s="260"/>
      <c r="M42" s="260"/>
      <c r="N42" s="260"/>
      <c r="O42" s="260"/>
      <c r="P42" s="211"/>
      <c r="Q42" s="261"/>
      <c r="R42" s="208" t="str">
        <f ca="1">IF(ISERROR($V42),"",OFFSET('Smelter Look-up'!$C$4,$V42-4,0)&amp;"")</f>
        <v>PT Refined Bangka Tin</v>
      </c>
      <c r="S42" s="215" t="str">
        <f t="shared" ca="1" si="6"/>
        <v>ID</v>
      </c>
      <c r="T42" s="215" t="str">
        <f ca="1">IF(B42="","",IF(ISERROR(MATCH($J42,SorP!$B$1:$B$6230,0)),"",INDIRECT("'SorP'!$A$"&amp;MATCH($J42,SorP!$B$1:$B$6230,0))))</f>
        <v>ID-BB</v>
      </c>
      <c r="U42" s="231"/>
      <c r="V42" s="262">
        <f>IF(C42="",NA(),IF(OR(C42="Smelter not listed",C42="Smelter not yet identified"),MATCH($B42&amp;$D42,'Smelter Look-up'!$J:$J,0),MATCH($B42&amp;$C42,'Smelter Look-up'!$J:$J,0)))</f>
        <v>502</v>
      </c>
      <c r="W42" s="263"/>
      <c r="X42" s="263">
        <f t="shared" si="7"/>
        <v>0</v>
      </c>
      <c r="Y42" s="263"/>
      <c r="Z42" s="263"/>
      <c r="AB42" s="265" t="str">
        <f t="shared" si="8"/>
        <v>TinPT Refined Bangka Tin</v>
      </c>
    </row>
    <row r="43" spans="1:28" s="264" customFormat="1" ht="63.75">
      <c r="A43" s="207" t="s">
        <v>773</v>
      </c>
      <c r="B43" s="208" t="s">
        <v>1131</v>
      </c>
      <c r="C43" s="356" t="s">
        <v>1327</v>
      </c>
      <c r="D43" s="270"/>
      <c r="E43" s="208" t="s">
        <v>15675</v>
      </c>
      <c r="F43" s="208" t="s">
        <v>773</v>
      </c>
      <c r="G43" s="208" t="s">
        <v>13320</v>
      </c>
      <c r="H43" s="357" t="s">
        <v>15720</v>
      </c>
      <c r="I43" s="358" t="s">
        <v>1788</v>
      </c>
      <c r="J43" s="358" t="s">
        <v>13683</v>
      </c>
      <c r="K43" s="260"/>
      <c r="L43" s="260"/>
      <c r="M43" s="260"/>
      <c r="N43" s="260"/>
      <c r="O43" s="260"/>
      <c r="P43" s="211"/>
      <c r="Q43" s="261"/>
      <c r="R43" s="208" t="str">
        <f ca="1">IF(ISERROR($V43),"",OFFSET('Smelter Look-up'!$C$4,$V43-4,0)&amp;"")</f>
        <v>China Tin Group Co., Ltd.</v>
      </c>
      <c r="S43" s="215" t="str">
        <f t="shared" ca="1" si="6"/>
        <v>CN</v>
      </c>
      <c r="T43" s="215" t="str">
        <f ca="1">IF(B43="","",IF(ISERROR(MATCH($J43,SorP!$B$1:$B$6230,0)),"",INDIRECT("'SorP'!$A$"&amp;MATCH($J43,SorP!$B$1:$B$6230,0))))</f>
        <v>CN-GX</v>
      </c>
      <c r="U43" s="231"/>
      <c r="V43" s="262">
        <f>IF(C43="",NA(),IF(OR(C43="Smelter not listed",C43="Smelter not yet identified"),MATCH($B43&amp;$D43,'Smelter Look-up'!$J:$J,0),MATCH($B43&amp;$C43,'Smelter Look-up'!$J:$J,0)))</f>
        <v>402</v>
      </c>
      <c r="W43" s="263"/>
      <c r="X43" s="263">
        <f t="shared" si="7"/>
        <v>0</v>
      </c>
      <c r="Y43" s="263"/>
      <c r="Z43" s="263"/>
      <c r="AB43" s="265" t="str">
        <f t="shared" si="8"/>
        <v>TinChina Tin Group Co., Ltd.</v>
      </c>
    </row>
    <row r="44" spans="1:28" s="264" customFormat="1" ht="76.5">
      <c r="A44" s="207" t="s">
        <v>774</v>
      </c>
      <c r="B44" s="208" t="s">
        <v>1131</v>
      </c>
      <c r="C44" s="356" t="s">
        <v>821</v>
      </c>
      <c r="D44" s="270"/>
      <c r="E44" s="208" t="s">
        <v>15721</v>
      </c>
      <c r="F44" s="208" t="s">
        <v>774</v>
      </c>
      <c r="G44" s="208" t="s">
        <v>13320</v>
      </c>
      <c r="H44" s="357" t="s">
        <v>15722</v>
      </c>
      <c r="I44" s="358" t="s">
        <v>1793</v>
      </c>
      <c r="J44" s="358" t="s">
        <v>8739</v>
      </c>
      <c r="K44" s="260"/>
      <c r="L44" s="260"/>
      <c r="M44" s="260"/>
      <c r="N44" s="260"/>
      <c r="O44" s="260"/>
      <c r="P44" s="211"/>
      <c r="Q44" s="261"/>
      <c r="R44" s="208" t="str">
        <f ca="1">IF(ISERROR($V44),"",OFFSET('Smelter Look-up'!$C$4,$V44-4,0)&amp;"")</f>
        <v>Malaysia Smelting Corporation (MSC)</v>
      </c>
      <c r="S44" s="215" t="str">
        <f t="shared" ca="1" si="6"/>
        <v>MY</v>
      </c>
      <c r="T44" s="215" t="str">
        <f ca="1">IF(B44="","",IF(ISERROR(MATCH($J44,SorP!$B$1:$B$6230,0)),"",INDIRECT("'SorP'!$A$"&amp;MATCH($J44,SorP!$B$1:$B$6230,0))))</f>
        <v>MY-07</v>
      </c>
      <c r="U44" s="231"/>
      <c r="V44" s="262">
        <f>IF(C44="",NA(),IF(OR(C44="Smelter not listed",C44="Smelter not yet identified"),MATCH($B44&amp;$D44,'Smelter Look-up'!$J:$J,0),MATCH($B44&amp;$C44,'Smelter Look-up'!$J:$J,0)))</f>
        <v>457</v>
      </c>
      <c r="W44" s="263"/>
      <c r="X44" s="263">
        <f t="shared" si="7"/>
        <v>0</v>
      </c>
      <c r="Y44" s="263"/>
      <c r="Z44" s="263"/>
      <c r="AB44" s="265" t="str">
        <f t="shared" si="8"/>
        <v>TinMalaysia Smelting Corporation (MSC)</v>
      </c>
    </row>
    <row r="45" spans="1:28" s="264" customFormat="1" ht="89.25">
      <c r="A45" s="207" t="s">
        <v>709</v>
      </c>
      <c r="B45" s="208" t="s">
        <v>1130</v>
      </c>
      <c r="C45" s="356" t="s">
        <v>12508</v>
      </c>
      <c r="D45" s="270"/>
      <c r="E45" s="208" t="s">
        <v>15723</v>
      </c>
      <c r="F45" s="208" t="s">
        <v>709</v>
      </c>
      <c r="G45" s="208" t="s">
        <v>13320</v>
      </c>
      <c r="H45" s="357" t="s">
        <v>15724</v>
      </c>
      <c r="I45" s="358" t="s">
        <v>1633</v>
      </c>
      <c r="J45" s="358" t="s">
        <v>12964</v>
      </c>
      <c r="K45" s="260"/>
      <c r="L45" s="260"/>
      <c r="M45" s="260"/>
      <c r="N45" s="260"/>
      <c r="O45" s="260"/>
      <c r="P45" s="211"/>
      <c r="Q45" s="261"/>
      <c r="R45" s="208" t="str">
        <f ca="1">IF(ISERROR($V45),"",OFFSET('Smelter Look-up'!$C$4,$V45-4,0)&amp;"")</f>
        <v>Metalurgica Met-Mex Penoles S.A. De C.V.</v>
      </c>
      <c r="S45" s="215" t="str">
        <f t="shared" ca="1" si="6"/>
        <v>MX</v>
      </c>
      <c r="T45" s="215" t="str">
        <f ca="1">IF(B45="","",IF(ISERROR(MATCH($J45,SorP!$B$1:$B$6230,0)),"",INDIRECT("'SorP'!$A$"&amp;MATCH($J45,SorP!$B$1:$B$6230,0))))</f>
        <v>MX-COA</v>
      </c>
      <c r="U45" s="231"/>
      <c r="V45" s="262">
        <f>IF(C45="",NA(),IF(OR(C45="Smelter not listed",C45="Smelter not yet identified"),MATCH($B45&amp;$D45,'Smelter Look-up'!$J:$J,0),MATCH($B45&amp;$C45,'Smelter Look-up'!$J:$J,0)))</f>
        <v>178</v>
      </c>
      <c r="W45" s="263"/>
      <c r="X45" s="263">
        <f t="shared" si="7"/>
        <v>0</v>
      </c>
      <c r="Y45" s="263"/>
      <c r="Z45" s="263"/>
      <c r="AB45" s="265" t="str">
        <f t="shared" si="8"/>
        <v>GoldMetalurgica Met-Mex Penoles S.A. De C.V.</v>
      </c>
    </row>
    <row r="46" spans="1:28" s="264" customFormat="1" ht="89.25">
      <c r="A46" s="207" t="s">
        <v>705</v>
      </c>
      <c r="B46" s="208" t="s">
        <v>1130</v>
      </c>
      <c r="C46" s="356" t="s">
        <v>2164</v>
      </c>
      <c r="D46" s="270"/>
      <c r="E46" s="208" t="s">
        <v>15675</v>
      </c>
      <c r="F46" s="208" t="s">
        <v>705</v>
      </c>
      <c r="G46" s="208" t="s">
        <v>13320</v>
      </c>
      <c r="H46" s="357" t="s">
        <v>15725</v>
      </c>
      <c r="I46" s="358" t="s">
        <v>1628</v>
      </c>
      <c r="J46" s="358" t="s">
        <v>13923</v>
      </c>
      <c r="K46" s="260"/>
      <c r="L46" s="260"/>
      <c r="M46" s="260"/>
      <c r="N46" s="260"/>
      <c r="O46" s="260"/>
      <c r="P46" s="211"/>
      <c r="Q46" s="261"/>
      <c r="R46" s="208" t="str">
        <f ca="1">IF(ISERROR($V46),"",OFFSET('Smelter Look-up'!$C$4,$V46-4,0)&amp;"")</f>
        <v>Metalor Technologies (Hong Kong) Ltd.</v>
      </c>
      <c r="S46" s="215" t="str">
        <f t="shared" ca="1" si="6"/>
        <v>CN</v>
      </c>
      <c r="T46" s="215" t="str">
        <f ca="1">IF(B46="","",IF(ISERROR(MATCH($J46,SorP!$B$1:$B$6230,0)),"",INDIRECT("'SorP'!$A$"&amp;MATCH($J46,SorP!$B$1:$B$6230,0))))</f>
        <v/>
      </c>
      <c r="U46" s="231"/>
      <c r="V46" s="262">
        <f>IF(C46="",NA(),IF(OR(C46="Smelter not listed",C46="Smelter not yet identified"),MATCH($B46&amp;$D46,'Smelter Look-up'!$J:$J,0),MATCH($B46&amp;$C46,'Smelter Look-up'!$J:$J,0)))</f>
        <v>173</v>
      </c>
      <c r="W46" s="263"/>
      <c r="X46" s="263">
        <f t="shared" si="7"/>
        <v>0</v>
      </c>
      <c r="Y46" s="263"/>
      <c r="Z46" s="263"/>
      <c r="AB46" s="265" t="str">
        <f t="shared" si="8"/>
        <v>GoldMetalor Technologies (Hong Kong) Ltd.</v>
      </c>
    </row>
    <row r="47" spans="1:28" s="264" customFormat="1" ht="102">
      <c r="A47" s="207" t="s">
        <v>706</v>
      </c>
      <c r="B47" s="208" t="s">
        <v>1130</v>
      </c>
      <c r="C47" s="356" t="s">
        <v>2165</v>
      </c>
      <c r="D47" s="270"/>
      <c r="E47" s="208" t="s">
        <v>12802</v>
      </c>
      <c r="F47" s="208" t="s">
        <v>706</v>
      </c>
      <c r="G47" s="208" t="s">
        <v>13320</v>
      </c>
      <c r="H47" s="357" t="s">
        <v>15726</v>
      </c>
      <c r="I47" s="358" t="s">
        <v>12802</v>
      </c>
      <c r="J47" s="358" t="s">
        <v>10374</v>
      </c>
      <c r="K47" s="260"/>
      <c r="L47" s="260"/>
      <c r="M47" s="260"/>
      <c r="N47" s="260"/>
      <c r="O47" s="260"/>
      <c r="P47" s="211"/>
      <c r="Q47" s="261"/>
      <c r="R47" s="208" t="str">
        <f ca="1">IF(ISERROR($V47),"",OFFSET('Smelter Look-up'!$C$4,$V47-4,0)&amp;"")</f>
        <v>Metalor Technologies (Singapore) Pte., Ltd.</v>
      </c>
      <c r="S47" s="215" t="str">
        <f t="shared" ca="1" si="6"/>
        <v>SG</v>
      </c>
      <c r="T47" s="215" t="str">
        <f ca="1">IF(B47="","",IF(ISERROR(MATCH($J47,SorP!$B$1:$B$6230,0)),"",INDIRECT("'SorP'!$A$"&amp;MATCH($J47,SorP!$B$1:$B$6230,0))))</f>
        <v>SG-05</v>
      </c>
      <c r="U47" s="231"/>
      <c r="V47" s="262">
        <f>IF(C47="",NA(),IF(OR(C47="Smelter not listed",C47="Smelter not yet identified"),MATCH($B47&amp;$D47,'Smelter Look-up'!$J:$J,0),MATCH($B47&amp;$C47,'Smelter Look-up'!$J:$J,0)))</f>
        <v>174</v>
      </c>
      <c r="W47" s="263"/>
      <c r="X47" s="263">
        <f t="shared" si="7"/>
        <v>0</v>
      </c>
      <c r="Y47" s="263"/>
      <c r="Z47" s="263"/>
      <c r="AB47" s="265" t="str">
        <f t="shared" si="8"/>
        <v>GoldMetalor Technologies (Singapore) Pte., Ltd.</v>
      </c>
    </row>
    <row r="48" spans="1:28" s="264" customFormat="1" ht="51">
      <c r="A48" s="207" t="s">
        <v>784</v>
      </c>
      <c r="B48" s="208" t="s">
        <v>1131</v>
      </c>
      <c r="C48" s="356" t="s">
        <v>13881</v>
      </c>
      <c r="D48" s="270"/>
      <c r="E48" s="208" t="s">
        <v>15677</v>
      </c>
      <c r="F48" s="208" t="s">
        <v>784</v>
      </c>
      <c r="G48" s="208" t="s">
        <v>13320</v>
      </c>
      <c r="H48" s="357" t="s">
        <v>15727</v>
      </c>
      <c r="I48" s="358" t="s">
        <v>1807</v>
      </c>
      <c r="J48" s="358" t="s">
        <v>12931</v>
      </c>
      <c r="K48" s="260"/>
      <c r="L48" s="260"/>
      <c r="M48" s="260"/>
      <c r="N48" s="260"/>
      <c r="O48" s="260"/>
      <c r="P48" s="211"/>
      <c r="Q48" s="261"/>
      <c r="R48" s="208" t="str">
        <f ca="1">IF(ISERROR($V48),"",OFFSET('Smelter Look-up'!$C$4,$V48-4,0)&amp;"")</f>
        <v>PT Timah Tbk Mentok</v>
      </c>
      <c r="S48" s="215" t="str">
        <f t="shared" ca="1" si="6"/>
        <v>ID</v>
      </c>
      <c r="T48" s="215" t="str">
        <f ca="1">IF(B48="","",IF(ISERROR(MATCH($J48,SorP!$B$1:$B$6230,0)),"",INDIRECT("'SorP'!$A$"&amp;MATCH($J48,SorP!$B$1:$B$6230,0))))</f>
        <v>ID-BB</v>
      </c>
      <c r="U48" s="231"/>
      <c r="V48" s="262">
        <f>IF(C48="",NA(),IF(OR(C48="Smelter not listed",C48="Smelter not yet identified"),MATCH($B48&amp;$D48,'Smelter Look-up'!$J:$J,0),MATCH($B48&amp;$C48,'Smelter Look-up'!$J:$J,0)))</f>
        <v>509</v>
      </c>
      <c r="W48" s="263"/>
      <c r="X48" s="263">
        <f t="shared" si="7"/>
        <v>0</v>
      </c>
      <c r="Y48" s="263"/>
      <c r="Z48" s="263"/>
      <c r="AB48" s="265" t="str">
        <f t="shared" si="8"/>
        <v>TinPT Timah Tbk Mentok</v>
      </c>
    </row>
    <row r="49" spans="1:28" s="264" customFormat="1" ht="102">
      <c r="A49" s="207" t="s">
        <v>730</v>
      </c>
      <c r="B49" s="208" t="s">
        <v>1130</v>
      </c>
      <c r="C49" s="356" t="s">
        <v>915</v>
      </c>
      <c r="D49" s="270"/>
      <c r="E49" s="208" t="s">
        <v>15728</v>
      </c>
      <c r="F49" s="208" t="s">
        <v>730</v>
      </c>
      <c r="G49" s="208" t="s">
        <v>13320</v>
      </c>
      <c r="H49" s="357" t="s">
        <v>15729</v>
      </c>
      <c r="I49" s="358" t="s">
        <v>1669</v>
      </c>
      <c r="J49" s="358" t="s">
        <v>11590</v>
      </c>
      <c r="K49" s="260"/>
      <c r="L49" s="260"/>
      <c r="M49" s="260"/>
      <c r="N49" s="260"/>
      <c r="O49" s="260"/>
      <c r="P49" s="211"/>
      <c r="Q49" s="261"/>
      <c r="R49" s="208" t="str">
        <f ca="1">IF(ISERROR($V49),"",OFFSET('Smelter Look-up'!$C$4,$V49-4,0)&amp;"")</f>
        <v>Solar Applied Materials Technology Corp.</v>
      </c>
      <c r="S49" s="215" t="str">
        <f t="shared" ca="1" si="6"/>
        <v>TW</v>
      </c>
      <c r="T49" s="215" t="str">
        <f ca="1">IF(B49="","",IF(ISERROR(MATCH($J49,SorP!$B$1:$B$6230,0)),"",INDIRECT("'SorP'!$A$"&amp;MATCH($J49,SorP!$B$1:$B$6230,0))))</f>
        <v>TW-TNN</v>
      </c>
      <c r="U49" s="231"/>
      <c r="V49" s="262">
        <f>IF(C49="",NA(),IF(OR(C49="Smelter not listed",C49="Smelter not yet identified"),MATCH($B49&amp;$D49,'Smelter Look-up'!$J:$J,0),MATCH($B49&amp;$C49,'Smelter Look-up'!$J:$J,0)))</f>
        <v>258</v>
      </c>
      <c r="W49" s="263"/>
      <c r="X49" s="263">
        <f t="shared" si="7"/>
        <v>0</v>
      </c>
      <c r="Y49" s="263"/>
      <c r="Z49" s="263"/>
      <c r="AB49" s="265" t="str">
        <f t="shared" si="8"/>
        <v>GoldSolar Applied Materials Technology Corp.</v>
      </c>
    </row>
    <row r="50" spans="1:28" s="264" customFormat="1" ht="63.75">
      <c r="A50" s="207" t="s">
        <v>715</v>
      </c>
      <c r="B50" s="208" t="s">
        <v>1130</v>
      </c>
      <c r="C50" s="356" t="s">
        <v>2168</v>
      </c>
      <c r="D50" s="270"/>
      <c r="E50" s="208" t="s">
        <v>15679</v>
      </c>
      <c r="F50" s="208" t="s">
        <v>715</v>
      </c>
      <c r="G50" s="208" t="s">
        <v>13320</v>
      </c>
      <c r="H50" s="357" t="s">
        <v>15730</v>
      </c>
      <c r="I50" s="358" t="s">
        <v>1640</v>
      </c>
      <c r="J50" s="358" t="s">
        <v>1641</v>
      </c>
      <c r="K50" s="260"/>
      <c r="L50" s="260"/>
      <c r="M50" s="260"/>
      <c r="N50" s="260"/>
      <c r="O50" s="260"/>
      <c r="P50" s="211"/>
      <c r="Q50" s="261"/>
      <c r="R50" s="208" t="str">
        <f ca="1">IF(ISERROR($V50),"",OFFSET('Smelter Look-up'!$C$4,$V50-4,0)&amp;"")</f>
        <v>Nihon Material Co., Ltd.</v>
      </c>
      <c r="S50" s="215" t="str">
        <f t="shared" ca="1" si="6"/>
        <v>JP</v>
      </c>
      <c r="T50" s="215" t="str">
        <f ca="1">IF(B50="","",IF(ISERROR(MATCH($J50,SorP!$B$1:$B$6230,0)),"",INDIRECT("'SorP'!$A$"&amp;MATCH($J50,SorP!$B$1:$B$6230,0))))</f>
        <v>JP-12</v>
      </c>
      <c r="U50" s="231"/>
      <c r="V50" s="262">
        <f>IF(C50="",NA(),IF(OR(C50="Smelter not listed",C50="Smelter not yet identified"),MATCH($B50&amp;$D50,'Smelter Look-up'!$J:$J,0),MATCH($B50&amp;$C50,'Smelter Look-up'!$J:$J,0)))</f>
        <v>193</v>
      </c>
      <c r="W50" s="263"/>
      <c r="X50" s="263">
        <f t="shared" si="7"/>
        <v>0</v>
      </c>
      <c r="Y50" s="263"/>
      <c r="Z50" s="263"/>
      <c r="AB50" s="265" t="str">
        <f t="shared" si="8"/>
        <v>GoldNihon Material Co., Ltd.</v>
      </c>
    </row>
    <row r="51" spans="1:28" s="264" customFormat="1" ht="76.5">
      <c r="A51" s="207" t="s">
        <v>781</v>
      </c>
      <c r="B51" s="208" t="s">
        <v>1131</v>
      </c>
      <c r="C51" s="356" t="s">
        <v>844</v>
      </c>
      <c r="D51" s="270"/>
      <c r="E51" s="208" t="s">
        <v>15677</v>
      </c>
      <c r="F51" s="208" t="s">
        <v>781</v>
      </c>
      <c r="G51" s="208" t="s">
        <v>13320</v>
      </c>
      <c r="H51" s="357" t="s">
        <v>15731</v>
      </c>
      <c r="I51" s="358" t="s">
        <v>1779</v>
      </c>
      <c r="J51" s="358" t="s">
        <v>12931</v>
      </c>
      <c r="K51" s="260"/>
      <c r="L51" s="260"/>
      <c r="M51" s="260"/>
      <c r="N51" s="260"/>
      <c r="O51" s="260"/>
      <c r="P51" s="211"/>
      <c r="Q51" s="261"/>
      <c r="R51" s="208" t="str">
        <f ca="1">IF(ISERROR($V51),"",OFFSET('Smelter Look-up'!$C$4,$V51-4,0)&amp;"")</f>
        <v>PT Artha Cipta Langgeng</v>
      </c>
      <c r="S51" s="215" t="str">
        <f t="shared" ca="1" si="6"/>
        <v>ID</v>
      </c>
      <c r="T51" s="215" t="str">
        <f ca="1">IF(B51="","",IF(ISERROR(MATCH($J51,SorP!$B$1:$B$6230,0)),"",INDIRECT("'SorP'!$A$"&amp;MATCH($J51,SorP!$B$1:$B$6230,0))))</f>
        <v>ID-BB</v>
      </c>
      <c r="U51" s="231"/>
      <c r="V51" s="262">
        <f>IF(C51="",NA(),IF(OR(C51="Smelter not listed",C51="Smelter not yet identified"),MATCH($B51&amp;$D51,'Smelter Look-up'!$J:$J,0),MATCH($B51&amp;$C51,'Smelter Look-up'!$J:$J,0)))</f>
        <v>484</v>
      </c>
      <c r="W51" s="263"/>
      <c r="X51" s="263">
        <f t="shared" si="7"/>
        <v>0</v>
      </c>
      <c r="Y51" s="263"/>
      <c r="Z51" s="263"/>
      <c r="AB51" s="265" t="str">
        <f t="shared" si="8"/>
        <v>TinPT Artha Cipta Langgeng</v>
      </c>
    </row>
    <row r="52" spans="1:28" s="264" customFormat="1" ht="51">
      <c r="A52" s="207" t="s">
        <v>804</v>
      </c>
      <c r="B52" s="208" t="s">
        <v>1131</v>
      </c>
      <c r="C52" s="356" t="s">
        <v>13882</v>
      </c>
      <c r="D52" s="270"/>
      <c r="E52" s="208" t="s">
        <v>15677</v>
      </c>
      <c r="F52" s="208" t="s">
        <v>804</v>
      </c>
      <c r="G52" s="208" t="s">
        <v>13320</v>
      </c>
      <c r="H52" s="357" t="s">
        <v>15732</v>
      </c>
      <c r="I52" s="358" t="s">
        <v>1805</v>
      </c>
      <c r="J52" s="358" t="s">
        <v>6100</v>
      </c>
      <c r="K52" s="260"/>
      <c r="L52" s="260"/>
      <c r="M52" s="260"/>
      <c r="N52" s="260"/>
      <c r="O52" s="260"/>
      <c r="P52" s="211"/>
      <c r="Q52" s="261"/>
      <c r="R52" s="208" t="str">
        <f ca="1">IF(ISERROR($V52),"",OFFSET('Smelter Look-up'!$C$4,$V52-4,0)&amp;"")</f>
        <v>PT Timah Tbk Kundur</v>
      </c>
      <c r="S52" s="215" t="str">
        <f t="shared" ca="1" si="6"/>
        <v>ID</v>
      </c>
      <c r="T52" s="215" t="str">
        <f ca="1">IF(B52="","",IF(ISERROR(MATCH($J52,SorP!$B$1:$B$6230,0)),"",INDIRECT("'SorP'!$A$"&amp;MATCH($J52,SorP!$B$1:$B$6230,0))))</f>
        <v>ID-RI</v>
      </c>
      <c r="U52" s="231"/>
      <c r="V52" s="262">
        <f>IF(C52="",NA(),IF(OR(C52="Smelter not listed",C52="Smelter not yet identified"),MATCH($B52&amp;$D52,'Smelter Look-up'!$J:$J,0),MATCH($B52&amp;$C52,'Smelter Look-up'!$J:$J,0)))</f>
        <v>508</v>
      </c>
      <c r="W52" s="263"/>
      <c r="X52" s="263">
        <f t="shared" si="7"/>
        <v>0</v>
      </c>
      <c r="Y52" s="263"/>
      <c r="Z52" s="263"/>
      <c r="AB52" s="265" t="str">
        <f t="shared" si="8"/>
        <v>TinPT Timah Tbk Kundur</v>
      </c>
    </row>
    <row r="53" spans="1:28" s="264" customFormat="1" ht="51">
      <c r="A53" s="207" t="s">
        <v>786</v>
      </c>
      <c r="B53" s="208" t="s">
        <v>1131</v>
      </c>
      <c r="C53" s="356" t="s">
        <v>785</v>
      </c>
      <c r="D53" s="270"/>
      <c r="E53" s="208" t="s">
        <v>15728</v>
      </c>
      <c r="F53" s="208" t="s">
        <v>786</v>
      </c>
      <c r="G53" s="208" t="s">
        <v>13320</v>
      </c>
      <c r="H53" s="357" t="s">
        <v>15733</v>
      </c>
      <c r="I53" s="358" t="s">
        <v>13915</v>
      </c>
      <c r="J53" s="358" t="s">
        <v>1710</v>
      </c>
      <c r="K53" s="260"/>
      <c r="L53" s="260"/>
      <c r="M53" s="260"/>
      <c r="N53" s="260"/>
      <c r="O53" s="260"/>
      <c r="P53" s="211"/>
      <c r="Q53" s="261"/>
      <c r="R53" s="208" t="str">
        <f ca="1">IF(ISERROR($V53),"",OFFSET('Smelter Look-up'!$C$4,$V53-4,0)&amp;"")</f>
        <v>Rui Da Hung</v>
      </c>
      <c r="S53" s="215" t="str">
        <f t="shared" ca="1" si="6"/>
        <v>TW</v>
      </c>
      <c r="T53" s="215" t="str">
        <f ca="1">IF(B53="","",IF(ISERROR(MATCH($J53,SorP!$B$1:$B$6230,0)),"",INDIRECT("'SorP'!$A$"&amp;MATCH($J53,SorP!$B$1:$B$6230,0))))</f>
        <v>TW-TAO</v>
      </c>
      <c r="U53" s="231"/>
      <c r="V53" s="262">
        <f>IF(C53="",NA(),IF(OR(C53="Smelter not listed",C53="Smelter not yet identified"),MATCH($B53&amp;$D53,'Smelter Look-up'!$J:$J,0),MATCH($B53&amp;$C53,'Smelter Look-up'!$J:$J,0)))</f>
        <v>516</v>
      </c>
      <c r="W53" s="263"/>
      <c r="X53" s="263">
        <f t="shared" si="7"/>
        <v>0</v>
      </c>
      <c r="Y53" s="263"/>
      <c r="Z53" s="263"/>
      <c r="AB53" s="265" t="str">
        <f t="shared" si="8"/>
        <v>TinRui Da Hung</v>
      </c>
    </row>
    <row r="54" spans="1:28" s="264" customFormat="1" ht="63.75">
      <c r="A54" s="207" t="s">
        <v>735</v>
      </c>
      <c r="B54" s="208" t="s">
        <v>1130</v>
      </c>
      <c r="C54" s="356" t="s">
        <v>2178</v>
      </c>
      <c r="D54" s="270"/>
      <c r="E54" s="208" t="s">
        <v>15679</v>
      </c>
      <c r="F54" s="208" t="s">
        <v>735</v>
      </c>
      <c r="G54" s="208" t="s">
        <v>13320</v>
      </c>
      <c r="H54" s="357" t="s">
        <v>15734</v>
      </c>
      <c r="I54" s="358" t="s">
        <v>1677</v>
      </c>
      <c r="J54" s="358" t="s">
        <v>1587</v>
      </c>
      <c r="K54" s="260"/>
      <c r="L54" s="260"/>
      <c r="M54" s="260"/>
      <c r="N54" s="260"/>
      <c r="O54" s="260"/>
      <c r="P54" s="211"/>
      <c r="Q54" s="261"/>
      <c r="R54" s="208" t="str">
        <f ca="1">IF(ISERROR($V54),"",OFFSET('Smelter Look-up'!$C$4,$V54-4,0)&amp;"")</f>
        <v>Tokuriki Honten Co., Ltd.</v>
      </c>
      <c r="S54" s="215" t="str">
        <f t="shared" ca="1" si="6"/>
        <v>JP</v>
      </c>
      <c r="T54" s="215" t="str">
        <f ca="1">IF(B54="","",IF(ISERROR(MATCH($J54,SorP!$B$1:$B$6230,0)),"",INDIRECT("'SorP'!$A$"&amp;MATCH($J54,SorP!$B$1:$B$6230,0))))</f>
        <v>JP-11</v>
      </c>
      <c r="U54" s="231"/>
      <c r="V54" s="262">
        <f>IF(C54="",NA(),IF(OR(C54="Smelter not listed",C54="Smelter not yet identified"),MATCH($B54&amp;$D54,'Smelter Look-up'!$J:$J,0),MATCH($B54&amp;$C54,'Smelter Look-up'!$J:$J,0)))</f>
        <v>283</v>
      </c>
      <c r="W54" s="263"/>
      <c r="X54" s="263">
        <f t="shared" si="7"/>
        <v>0</v>
      </c>
      <c r="Y54" s="263"/>
      <c r="Z54" s="263"/>
      <c r="AB54" s="265" t="str">
        <f t="shared" si="8"/>
        <v>GoldTokuriki Honten Co., Ltd.</v>
      </c>
    </row>
    <row r="55" spans="1:28" s="264" customFormat="1" ht="51">
      <c r="A55" s="207" t="s">
        <v>724</v>
      </c>
      <c r="B55" s="208" t="s">
        <v>1130</v>
      </c>
      <c r="C55" s="356" t="s">
        <v>913</v>
      </c>
      <c r="D55" s="270"/>
      <c r="E55" s="208" t="s">
        <v>15690</v>
      </c>
      <c r="F55" s="208" t="s">
        <v>724</v>
      </c>
      <c r="G55" s="208" t="s">
        <v>13320</v>
      </c>
      <c r="H55" s="357" t="s">
        <v>15735</v>
      </c>
      <c r="I55" s="358" t="s">
        <v>1653</v>
      </c>
      <c r="J55" s="358" t="s">
        <v>1610</v>
      </c>
      <c r="K55" s="260"/>
      <c r="L55" s="260"/>
      <c r="M55" s="260"/>
      <c r="N55" s="260"/>
      <c r="O55" s="260"/>
      <c r="P55" s="211"/>
      <c r="Q55" s="261"/>
      <c r="R55" s="208" t="str">
        <f ca="1">IF(ISERROR($V55),"",OFFSET('Smelter Look-up'!$C$4,$V55-4,0)&amp;"")</f>
        <v>Royal Canadian Mint</v>
      </c>
      <c r="S55" s="215" t="str">
        <f t="shared" ca="1" si="6"/>
        <v>CA</v>
      </c>
      <c r="T55" s="215" t="str">
        <f ca="1">IF(B55="","",IF(ISERROR(MATCH($J55,SorP!$B$1:$B$6230,0)),"",INDIRECT("'SorP'!$A$"&amp;MATCH($J55,SorP!$B$1:$B$6230,0))))</f>
        <v>CA-ON</v>
      </c>
      <c r="U55" s="231"/>
      <c r="V55" s="262">
        <f>IF(C55="",NA(),IF(OR(C55="Smelter not listed",C55="Smelter not yet identified"),MATCH($B55&amp;$D55,'Smelter Look-up'!$J:$J,0),MATCH($B55&amp;$C55,'Smelter Look-up'!$J:$J,0)))</f>
        <v>220</v>
      </c>
      <c r="W55" s="263"/>
      <c r="X55" s="263">
        <f t="shared" si="7"/>
        <v>0</v>
      </c>
      <c r="Y55" s="263"/>
      <c r="Z55" s="263"/>
      <c r="AB55" s="265" t="str">
        <f t="shared" si="8"/>
        <v>GoldRoyal Canadian Mint</v>
      </c>
    </row>
    <row r="56" spans="1:28" s="264" customFormat="1" ht="102">
      <c r="A56" s="207" t="s">
        <v>734</v>
      </c>
      <c r="B56" s="208" t="s">
        <v>1130</v>
      </c>
      <c r="C56" s="356" t="s">
        <v>2177</v>
      </c>
      <c r="D56" s="270"/>
      <c r="E56" s="208" t="s">
        <v>15675</v>
      </c>
      <c r="F56" s="208" t="s">
        <v>734</v>
      </c>
      <c r="G56" s="208" t="s">
        <v>13320</v>
      </c>
      <c r="H56" s="357" t="s">
        <v>15736</v>
      </c>
      <c r="I56" s="358" t="s">
        <v>1663</v>
      </c>
      <c r="J56" s="358" t="s">
        <v>13700</v>
      </c>
      <c r="K56" s="260"/>
      <c r="L56" s="260"/>
      <c r="M56" s="260"/>
      <c r="N56" s="260"/>
      <c r="O56" s="260"/>
      <c r="P56" s="211"/>
      <c r="Q56" s="261"/>
      <c r="R56" s="208" t="str">
        <f ca="1">IF(ISERROR($V56),"",OFFSET('Smelter Look-up'!$C$4,$V56-4,0)&amp;"")</f>
        <v>Shandong Gold Smelting Co., Ltd.</v>
      </c>
      <c r="S56" s="215" t="str">
        <f t="shared" ca="1" si="6"/>
        <v>CN</v>
      </c>
      <c r="T56" s="215" t="str">
        <f ca="1">IF(B56="","",IF(ISERROR(MATCH($J56,SorP!$B$1:$B$6230,0)),"",INDIRECT("'SorP'!$A$"&amp;MATCH($J56,SorP!$B$1:$B$6230,0))))</f>
        <v>CN-SD</v>
      </c>
      <c r="U56" s="231"/>
      <c r="V56" s="262">
        <f>IF(C56="",NA(),IF(OR(C56="Smelter not listed",C56="Smelter not yet identified"),MATCH($B56&amp;$D56,'Smelter Look-up'!$J:$J,0),MATCH($B56&amp;$C56,'Smelter Look-up'!$J:$J,0)))</f>
        <v>282</v>
      </c>
      <c r="W56" s="263"/>
      <c r="X56" s="263">
        <f t="shared" si="7"/>
        <v>0</v>
      </c>
      <c r="Y56" s="263"/>
      <c r="Z56" s="263"/>
      <c r="AB56" s="265" t="str">
        <f t="shared" si="8"/>
        <v>GoldThe Refinery of Shandong Gold Mining Co., Ltd.</v>
      </c>
    </row>
    <row r="57" spans="1:28" s="264" customFormat="1" ht="63.75">
      <c r="A57" s="207" t="s">
        <v>732</v>
      </c>
      <c r="B57" s="208" t="s">
        <v>1130</v>
      </c>
      <c r="C57" s="356" t="s">
        <v>1233</v>
      </c>
      <c r="D57" s="270"/>
      <c r="E57" s="208" t="s">
        <v>15679</v>
      </c>
      <c r="F57" s="208" t="s">
        <v>732</v>
      </c>
      <c r="G57" s="208" t="s">
        <v>13320</v>
      </c>
      <c r="H57" s="357" t="s">
        <v>15737</v>
      </c>
      <c r="I57" s="358" t="s">
        <v>1671</v>
      </c>
      <c r="J57" s="358" t="s">
        <v>1672</v>
      </c>
      <c r="K57" s="260"/>
      <c r="L57" s="260"/>
      <c r="M57" s="260"/>
      <c r="N57" s="260"/>
      <c r="O57" s="260"/>
      <c r="P57" s="211"/>
      <c r="Q57" s="261"/>
      <c r="R57" s="208" t="str">
        <f ca="1">IF(ISERROR($V57),"",OFFSET('Smelter Look-up'!$C$4,$V57-4,0)&amp;"")</f>
        <v>Tanaka Kikinzoku Kogyo K.K.</v>
      </c>
      <c r="S57" s="215" t="str">
        <f t="shared" ca="1" si="6"/>
        <v>JP</v>
      </c>
      <c r="T57" s="215" t="str">
        <f ca="1">IF(B57="","",IF(ISERROR(MATCH($J57,SorP!$B$1:$B$6230,0)),"",INDIRECT("'SorP'!$A$"&amp;MATCH($J57,SorP!$B$1:$B$6230,0))))</f>
        <v>JP-14</v>
      </c>
      <c r="U57" s="231"/>
      <c r="V57" s="262">
        <f>IF(C57="",NA(),IF(OR(C57="Smelter not listed",C57="Smelter not yet identified"),MATCH($B57&amp;$D57,'Smelter Look-up'!$J:$J,0),MATCH($B57&amp;$C57,'Smelter Look-up'!$J:$J,0)))</f>
        <v>278</v>
      </c>
      <c r="W57" s="263"/>
      <c r="X57" s="263">
        <f t="shared" si="7"/>
        <v>0</v>
      </c>
      <c r="Y57" s="263"/>
      <c r="Z57" s="263"/>
      <c r="AB57" s="265" t="str">
        <f t="shared" si="8"/>
        <v>GoldTanaka Kikinzoku Kogyo K.K.</v>
      </c>
    </row>
    <row r="58" spans="1:28" s="264" customFormat="1" ht="63.75">
      <c r="A58" s="207" t="s">
        <v>788</v>
      </c>
      <c r="B58" s="208" t="s">
        <v>1131</v>
      </c>
      <c r="C58" s="356" t="s">
        <v>1031</v>
      </c>
      <c r="D58" s="270"/>
      <c r="E58" s="208" t="s">
        <v>15716</v>
      </c>
      <c r="F58" s="208" t="s">
        <v>788</v>
      </c>
      <c r="G58" s="208" t="s">
        <v>13320</v>
      </c>
      <c r="H58" s="357" t="s">
        <v>15738</v>
      </c>
      <c r="I58" s="358" t="s">
        <v>1809</v>
      </c>
      <c r="J58" s="358" t="s">
        <v>1810</v>
      </c>
      <c r="K58" s="260"/>
      <c r="L58" s="260"/>
      <c r="M58" s="260"/>
      <c r="N58" s="260"/>
      <c r="O58" s="260"/>
      <c r="P58" s="211"/>
      <c r="Q58" s="261"/>
      <c r="R58" s="208" t="str">
        <f ca="1">IF(ISERROR($V58),"",OFFSET('Smelter Look-up'!$C$4,$V58-4,0)&amp;"")</f>
        <v>Thaisarco</v>
      </c>
      <c r="S58" s="215" t="str">
        <f t="shared" ca="1" si="6"/>
        <v>TH</v>
      </c>
      <c r="T58" s="215" t="str">
        <f ca="1">IF(B58="","",IF(ISERROR(MATCH($J58,SorP!$B$1:$B$6230,0)),"",INDIRECT("'SorP'!$A$"&amp;MATCH($J58,SorP!$B$1:$B$6230,0))))</f>
        <v>TH-83</v>
      </c>
      <c r="U58" s="231"/>
      <c r="V58" s="262">
        <f>IF(C58="",NA(),IF(OR(C58="Smelter not listed",C58="Smelter not yet identified"),MATCH($B58&amp;$D58,'Smelter Look-up'!$J:$J,0),MATCH($B58&amp;$C58,'Smelter Look-up'!$J:$J,0)))</f>
        <v>523</v>
      </c>
      <c r="W58" s="263"/>
      <c r="X58" s="263">
        <f t="shared" si="7"/>
        <v>0</v>
      </c>
      <c r="Y58" s="263"/>
      <c r="Z58" s="263"/>
      <c r="AB58" s="265" t="str">
        <f t="shared" si="8"/>
        <v>TinThaisarco</v>
      </c>
    </row>
    <row r="59" spans="1:28" s="264" customFormat="1" ht="63.75">
      <c r="A59" s="207" t="s">
        <v>1404</v>
      </c>
      <c r="B59" s="208" t="s">
        <v>1131</v>
      </c>
      <c r="C59" s="356" t="s">
        <v>1403</v>
      </c>
      <c r="D59" s="270"/>
      <c r="E59" s="208" t="s">
        <v>15677</v>
      </c>
      <c r="F59" s="208" t="s">
        <v>1404</v>
      </c>
      <c r="G59" s="208" t="s">
        <v>13320</v>
      </c>
      <c r="H59" s="357" t="s">
        <v>15739</v>
      </c>
      <c r="I59" s="358" t="s">
        <v>1779</v>
      </c>
      <c r="J59" s="358" t="s">
        <v>12931</v>
      </c>
      <c r="K59" s="260"/>
      <c r="L59" s="260"/>
      <c r="M59" s="260"/>
      <c r="N59" s="260"/>
      <c r="O59" s="260"/>
      <c r="P59" s="211"/>
      <c r="Q59" s="261"/>
      <c r="R59" s="208" t="str">
        <f ca="1">IF(ISERROR($V59),"",OFFSET('Smelter Look-up'!$C$4,$V59-4,0)&amp;"")</f>
        <v>PT ATD Makmur Mandiri Jaya</v>
      </c>
      <c r="S59" s="215" t="str">
        <f t="shared" ca="1" si="6"/>
        <v>ID</v>
      </c>
      <c r="T59" s="215" t="str">
        <f ca="1">IF(B59="","",IF(ISERROR(MATCH($J59,SorP!$B$1:$B$6230,0)),"",INDIRECT("'SorP'!$A$"&amp;MATCH($J59,SorP!$B$1:$B$6230,0))))</f>
        <v>ID-BB</v>
      </c>
      <c r="U59" s="231"/>
      <c r="V59" s="262">
        <f>IF(C59="",NA(),IF(OR(C59="Smelter not listed",C59="Smelter not yet identified"),MATCH($B59&amp;$D59,'Smelter Look-up'!$J:$J,0),MATCH($B59&amp;$C59,'Smelter Look-up'!$J:$J,0)))</f>
        <v>485</v>
      </c>
      <c r="W59" s="263"/>
      <c r="X59" s="263">
        <f t="shared" si="7"/>
        <v>0</v>
      </c>
      <c r="Y59" s="263"/>
      <c r="Z59" s="263"/>
      <c r="AB59" s="265" t="str">
        <f t="shared" si="8"/>
        <v>TinPT ATD Makmur Mandiri Jaya</v>
      </c>
    </row>
    <row r="60" spans="1:28" s="264" customFormat="1" ht="63.75">
      <c r="A60" s="207" t="s">
        <v>707</v>
      </c>
      <c r="B60" s="208" t="s">
        <v>1130</v>
      </c>
      <c r="C60" s="356" t="s">
        <v>2327</v>
      </c>
      <c r="D60" s="270"/>
      <c r="E60" s="208" t="s">
        <v>15673</v>
      </c>
      <c r="F60" s="208" t="s">
        <v>707</v>
      </c>
      <c r="G60" s="208" t="s">
        <v>13320</v>
      </c>
      <c r="H60" s="357" t="s">
        <v>15740</v>
      </c>
      <c r="I60" s="358" t="s">
        <v>1629</v>
      </c>
      <c r="J60" s="358" t="s">
        <v>1630</v>
      </c>
      <c r="K60" s="260"/>
      <c r="L60" s="260"/>
      <c r="M60" s="260"/>
      <c r="N60" s="260"/>
      <c r="O60" s="260"/>
      <c r="P60" s="211"/>
      <c r="Q60" s="261"/>
      <c r="R60" s="208" t="str">
        <f ca="1">IF(ISERROR($V60),"",OFFSET('Smelter Look-up'!$C$4,$V60-4,0)&amp;"")</f>
        <v>Metalor Technologies S.A.</v>
      </c>
      <c r="S60" s="215" t="str">
        <f t="shared" ca="1" si="6"/>
        <v>CH</v>
      </c>
      <c r="T60" s="215" t="str">
        <f ca="1">IF(B60="","",IF(ISERROR(MATCH($J60,SorP!$B$1:$B$6230,0)),"",INDIRECT("'SorP'!$A$"&amp;MATCH($J60,SorP!$B$1:$B$6230,0))))</f>
        <v>CH-NE</v>
      </c>
      <c r="U60" s="231"/>
      <c r="V60" s="262">
        <f>IF(C60="",NA(),IF(OR(C60="Smelter not listed",C60="Smelter not yet identified"),MATCH($B60&amp;$D60,'Smelter Look-up'!$J:$J,0),MATCH($B60&amp;$C60,'Smelter Look-up'!$J:$J,0)))</f>
        <v>176</v>
      </c>
      <c r="W60" s="263"/>
      <c r="X60" s="263">
        <f t="shared" si="7"/>
        <v>0</v>
      </c>
      <c r="Y60" s="263"/>
      <c r="Z60" s="263"/>
      <c r="AB60" s="265" t="str">
        <f t="shared" si="8"/>
        <v>GoldMetalor Technologies S.A.</v>
      </c>
    </row>
    <row r="61" spans="1:28" s="264" customFormat="1" ht="76.5">
      <c r="A61" s="207" t="s">
        <v>777</v>
      </c>
      <c r="B61" s="208" t="s">
        <v>1131</v>
      </c>
      <c r="C61" s="356" t="s">
        <v>1164</v>
      </c>
      <c r="D61" s="270"/>
      <c r="E61" s="208" t="s">
        <v>15679</v>
      </c>
      <c r="F61" s="208" t="s">
        <v>777</v>
      </c>
      <c r="G61" s="208" t="s">
        <v>13320</v>
      </c>
      <c r="H61" s="357" t="s">
        <v>15741</v>
      </c>
      <c r="I61" s="358" t="s">
        <v>1548</v>
      </c>
      <c r="J61" s="358" t="s">
        <v>1548</v>
      </c>
      <c r="K61" s="260"/>
      <c r="L61" s="260"/>
      <c r="M61" s="260"/>
      <c r="N61" s="260"/>
      <c r="O61" s="260"/>
      <c r="P61" s="211"/>
      <c r="Q61" s="261"/>
      <c r="R61" s="208" t="str">
        <f ca="1">IF(ISERROR($V61),"",OFFSET('Smelter Look-up'!$C$4,$V61-4,0)&amp;"")</f>
        <v>Mitsubishi Materials Corporation</v>
      </c>
      <c r="S61" s="215" t="str">
        <f t="shared" ca="1" si="6"/>
        <v>JP</v>
      </c>
      <c r="T61" s="215" t="str">
        <f ca="1">IF(B61="","",IF(ISERROR(MATCH($J61,SorP!$B$1:$B$6230,0)),"",INDIRECT("'SorP'!$A$"&amp;MATCH($J61,SorP!$B$1:$B$6230,0))))</f>
        <v>JP-13</v>
      </c>
      <c r="U61" s="231"/>
      <c r="V61" s="262">
        <f>IF(C61="",NA(),IF(OR(C61="Smelter not listed",C61="Smelter not yet identified"),MATCH($B61&amp;$D61,'Smelter Look-up'!$J:$J,0),MATCH($B61&amp;$C61,'Smelter Look-up'!$J:$J,0)))</f>
        <v>469</v>
      </c>
      <c r="W61" s="263"/>
      <c r="X61" s="263">
        <f t="shared" si="7"/>
        <v>0</v>
      </c>
      <c r="Y61" s="263"/>
      <c r="Z61" s="263"/>
      <c r="AB61" s="265" t="str">
        <f t="shared" si="8"/>
        <v>TinMitsubishi Materials Corporation</v>
      </c>
    </row>
    <row r="62" spans="1:28" s="264" customFormat="1" ht="63.75">
      <c r="A62" s="207" t="s">
        <v>780</v>
      </c>
      <c r="B62" s="208" t="s">
        <v>1131</v>
      </c>
      <c r="C62" s="356" t="s">
        <v>13885</v>
      </c>
      <c r="D62" s="270"/>
      <c r="E62" s="208" t="s">
        <v>15683</v>
      </c>
      <c r="F62" s="208" t="s">
        <v>780</v>
      </c>
      <c r="G62" s="208" t="s">
        <v>13320</v>
      </c>
      <c r="H62" s="357" t="s">
        <v>15742</v>
      </c>
      <c r="I62" s="358" t="s">
        <v>1781</v>
      </c>
      <c r="J62" s="358" t="s">
        <v>1781</v>
      </c>
      <c r="K62" s="260"/>
      <c r="L62" s="260"/>
      <c r="M62" s="260"/>
      <c r="N62" s="260"/>
      <c r="O62" s="260"/>
      <c r="P62" s="211"/>
      <c r="Q62" s="261"/>
      <c r="R62" s="208" t="str">
        <f ca="1">IF(ISERROR($V62),"",OFFSET('Smelter Look-up'!$C$4,$V62-4,0)&amp;"")</f>
        <v>Operaciones Metalurgicas S.A.</v>
      </c>
      <c r="S62" s="215" t="str">
        <f t="shared" ca="1" si="6"/>
        <v>BO</v>
      </c>
      <c r="T62" s="215" t="str">
        <f ca="1">IF(B62="","",IF(ISERROR(MATCH($J62,SorP!$B$1:$B$6230,0)),"",INDIRECT("'SorP'!$A$"&amp;MATCH($J62,SorP!$B$1:$B$6230,0))))</f>
        <v>BO-O</v>
      </c>
      <c r="U62" s="231"/>
      <c r="V62" s="262">
        <f>IF(C62="",NA(),IF(OR(C62="Smelter not listed",C62="Smelter not yet identified"),MATCH($B62&amp;$D62,'Smelter Look-up'!$J:$J,0),MATCH($B62&amp;$C62,'Smelter Look-up'!$J:$J,0)))</f>
        <v>479</v>
      </c>
      <c r="W62" s="263"/>
      <c r="X62" s="263">
        <f t="shared" si="7"/>
        <v>0</v>
      </c>
      <c r="Y62" s="263"/>
      <c r="Z62" s="263"/>
      <c r="AB62" s="265" t="str">
        <f t="shared" si="8"/>
        <v>TinOperaciones Metalurgicas S.A.</v>
      </c>
    </row>
    <row r="63" spans="1:28" s="264" customFormat="1" ht="102">
      <c r="A63" s="207" t="s">
        <v>738</v>
      </c>
      <c r="B63" s="208" t="s">
        <v>1130</v>
      </c>
      <c r="C63" s="356" t="s">
        <v>2354</v>
      </c>
      <c r="D63" s="270"/>
      <c r="E63" s="208" t="s">
        <v>15743</v>
      </c>
      <c r="F63" s="208" t="s">
        <v>738</v>
      </c>
      <c r="G63" s="208" t="s">
        <v>13320</v>
      </c>
      <c r="H63" s="357" t="s">
        <v>15744</v>
      </c>
      <c r="I63" s="358" t="s">
        <v>1683</v>
      </c>
      <c r="J63" s="358" t="s">
        <v>3177</v>
      </c>
      <c r="K63" s="260"/>
      <c r="L63" s="260"/>
      <c r="M63" s="260"/>
      <c r="N63" s="260"/>
      <c r="O63" s="260"/>
      <c r="P63" s="211"/>
      <c r="Q63" s="261"/>
      <c r="R63" s="208" t="str">
        <f ca="1">IF(ISERROR($V63),"",OFFSET('Smelter Look-up'!$C$4,$V63-4,0)&amp;"")</f>
        <v>Umicore S.A. Business Unit Precious Metals Refining</v>
      </c>
      <c r="S63" s="215" t="str">
        <f t="shared" ca="1" si="6"/>
        <v>BE</v>
      </c>
      <c r="T63" s="215" t="str">
        <f ca="1">IF(B63="","",IF(ISERROR(MATCH($J63,SorP!$B$1:$B$6230,0)),"",INDIRECT("'SorP'!$A$"&amp;MATCH($J63,SorP!$B$1:$B$6230,0))))</f>
        <v>BE-VAN</v>
      </c>
      <c r="U63" s="231"/>
      <c r="V63" s="262">
        <f>IF(C63="",NA(),IF(OR(C63="Smelter not listed",C63="Smelter not yet identified"),MATCH($B63&amp;$D63,'Smelter Look-up'!$J:$J,0),MATCH($B63&amp;$C63,'Smelter Look-up'!$J:$J,0)))</f>
        <v>293</v>
      </c>
      <c r="W63" s="263"/>
      <c r="X63" s="263">
        <f t="shared" si="7"/>
        <v>0</v>
      </c>
      <c r="Y63" s="263"/>
      <c r="Z63" s="263"/>
      <c r="AB63" s="265" t="str">
        <f t="shared" si="8"/>
        <v>GoldUmicore S.A. Business Unit Precious Metals Refining</v>
      </c>
    </row>
    <row r="64" spans="1:28" s="264" customFormat="1" ht="76.5">
      <c r="A64" s="207" t="s">
        <v>789</v>
      </c>
      <c r="B64" s="208" t="s">
        <v>1131</v>
      </c>
      <c r="C64" s="356" t="s">
        <v>2556</v>
      </c>
      <c r="D64" s="270"/>
      <c r="E64" s="208" t="s">
        <v>15701</v>
      </c>
      <c r="F64" s="208" t="s">
        <v>789</v>
      </c>
      <c r="G64" s="208" t="s">
        <v>13320</v>
      </c>
      <c r="H64" s="357" t="s">
        <v>15745</v>
      </c>
      <c r="I64" s="358" t="s">
        <v>1778</v>
      </c>
      <c r="J64" s="358" t="s">
        <v>1782</v>
      </c>
      <c r="K64" s="260"/>
      <c r="L64" s="260"/>
      <c r="M64" s="260"/>
      <c r="N64" s="260"/>
      <c r="O64" s="260"/>
      <c r="P64" s="211"/>
      <c r="Q64" s="261"/>
      <c r="R64" s="208" t="str">
        <f ca="1">IF(ISERROR($V64),"",OFFSET('Smelter Look-up'!$C$4,$V64-4,0)&amp;"")</f>
        <v>White Solder Metalurgia e Mineracao Ltda.</v>
      </c>
      <c r="S64" s="215" t="str">
        <f t="shared" ca="1" si="6"/>
        <v>BR</v>
      </c>
      <c r="T64" s="215" t="str">
        <f ca="1">IF(B64="","",IF(ISERROR(MATCH($J64,SorP!$B$1:$B$6230,0)),"",INDIRECT("'SorP'!$A$"&amp;MATCH($J64,SorP!$B$1:$B$6230,0))))</f>
        <v>BR-RO</v>
      </c>
      <c r="U64" s="231"/>
      <c r="V64" s="262">
        <f>IF(C64="",NA(),IF(OR(C64="Smelter not listed",C64="Smelter not yet identified"),MATCH($B64&amp;$D64,'Smelter Look-up'!$J:$J,0),MATCH($B64&amp;$C64,'Smelter Look-up'!$J:$J,0)))</f>
        <v>532</v>
      </c>
      <c r="W64" s="263"/>
      <c r="X64" s="263">
        <f t="shared" si="7"/>
        <v>0</v>
      </c>
      <c r="Y64" s="263"/>
      <c r="Z64" s="263"/>
      <c r="AB64" s="265" t="str">
        <f t="shared" si="8"/>
        <v>TinWhite Solder Metalurgia e Mineracao Ltda.</v>
      </c>
    </row>
    <row r="65" spans="1:28" s="264" customFormat="1" ht="63.75">
      <c r="A65" s="207" t="s">
        <v>1402</v>
      </c>
      <c r="B65" s="208" t="s">
        <v>1131</v>
      </c>
      <c r="C65" s="356" t="s">
        <v>1401</v>
      </c>
      <c r="D65" s="270"/>
      <c r="E65" s="208" t="s">
        <v>15746</v>
      </c>
      <c r="F65" s="208" t="s">
        <v>1402</v>
      </c>
      <c r="G65" s="208" t="s">
        <v>13320</v>
      </c>
      <c r="H65" s="357" t="s">
        <v>15747</v>
      </c>
      <c r="I65" s="358" t="s">
        <v>13022</v>
      </c>
      <c r="J65" s="358" t="s">
        <v>9530</v>
      </c>
      <c r="K65" s="260"/>
      <c r="L65" s="260"/>
      <c r="M65" s="260"/>
      <c r="N65" s="260"/>
      <c r="O65" s="260"/>
      <c r="P65" s="211"/>
      <c r="Q65" s="261"/>
      <c r="R65" s="208" t="str">
        <f ca="1">IF(ISERROR($V65),"",OFFSET('Smelter Look-up'!$C$4,$V65-4,0)&amp;"")</f>
        <v>O.M. Manufacturing Philippines, Inc.</v>
      </c>
      <c r="S65" s="215" t="str">
        <f t="shared" ca="1" si="6"/>
        <v>PH</v>
      </c>
      <c r="T65" s="215" t="str">
        <f ca="1">IF(B65="","",IF(ISERROR(MATCH($J65,SorP!$B$1:$B$6230,0)),"",INDIRECT("'SorP'!$A$"&amp;MATCH($J65,SorP!$B$1:$B$6230,0))))</f>
        <v>PH-CAV</v>
      </c>
      <c r="U65" s="231"/>
      <c r="V65" s="262">
        <f>IF(C65="",NA(),IF(OR(C65="Smelter not listed",C65="Smelter not yet identified"),MATCH($B65&amp;$D65,'Smelter Look-up'!$J:$J,0),MATCH($B65&amp;$C65,'Smelter Look-up'!$J:$J,0)))</f>
        <v>477</v>
      </c>
      <c r="W65" s="263"/>
      <c r="X65" s="263">
        <f t="shared" si="7"/>
        <v>0</v>
      </c>
      <c r="Y65" s="263"/>
      <c r="Z65" s="263"/>
      <c r="AB65" s="265" t="str">
        <f t="shared" si="8"/>
        <v>TinO.M. Manufacturing Philippines, Inc.</v>
      </c>
    </row>
    <row r="66" spans="1:28" s="264" customFormat="1" ht="38.25">
      <c r="A66" s="207" t="s">
        <v>1831</v>
      </c>
      <c r="B66" s="208" t="s">
        <v>1131</v>
      </c>
      <c r="C66" s="356" t="s">
        <v>13013</v>
      </c>
      <c r="D66" s="270"/>
      <c r="E66" s="208" t="s">
        <v>15748</v>
      </c>
      <c r="F66" s="208" t="s">
        <v>1831</v>
      </c>
      <c r="G66" s="208" t="s">
        <v>13320</v>
      </c>
      <c r="H66" s="357" t="s">
        <v>15749</v>
      </c>
      <c r="I66" s="358" t="s">
        <v>1832</v>
      </c>
      <c r="J66" s="358" t="s">
        <v>12491</v>
      </c>
      <c r="K66" s="260"/>
      <c r="L66" s="260"/>
      <c r="M66" s="260"/>
      <c r="N66" s="260"/>
      <c r="O66" s="260"/>
      <c r="P66" s="211"/>
      <c r="Q66" s="261"/>
      <c r="R66" s="208" t="str">
        <f ca="1">IF(ISERROR($V66),"",OFFSET('Smelter Look-up'!$C$4,$V66-4,0)&amp;"")</f>
        <v>Metallo Spain S.L.U.</v>
      </c>
      <c r="S66" s="215" t="str">
        <f t="shared" ca="1" si="6"/>
        <v>ES</v>
      </c>
      <c r="T66" s="215" t="str">
        <f ca="1">IF(B66="","",IF(ISERROR(MATCH($J66,SorP!$B$1:$B$6230,0)),"",INDIRECT("'SorP'!$A$"&amp;MATCH($J66,SorP!$B$1:$B$6230,0))))</f>
        <v>ES-BI</v>
      </c>
      <c r="U66" s="231"/>
      <c r="V66" s="262">
        <f>IF(C66="",NA(),IF(OR(C66="Smelter not listed",C66="Smelter not yet identified"),MATCH($B66&amp;$D66,'Smelter Look-up'!$J:$J,0),MATCH($B66&amp;$C66,'Smelter Look-up'!$J:$J,0)))</f>
        <v>463</v>
      </c>
      <c r="W66" s="263"/>
      <c r="X66" s="263">
        <f t="shared" si="7"/>
        <v>0</v>
      </c>
      <c r="Y66" s="263"/>
      <c r="Z66" s="263"/>
      <c r="AB66" s="265" t="str">
        <f t="shared" si="8"/>
        <v>TinMetallo Spain S.L.U.</v>
      </c>
    </row>
    <row r="67" spans="1:28" s="264" customFormat="1" ht="127.5">
      <c r="A67" s="207" t="s">
        <v>2222</v>
      </c>
      <c r="B67" s="208" t="s">
        <v>1130</v>
      </c>
      <c r="C67" s="356" t="s">
        <v>12514</v>
      </c>
      <c r="D67" s="270"/>
      <c r="E67" s="208" t="s">
        <v>15750</v>
      </c>
      <c r="F67" s="208" t="s">
        <v>2222</v>
      </c>
      <c r="G67" s="208" t="s">
        <v>13320</v>
      </c>
      <c r="H67" s="357" t="s">
        <v>15751</v>
      </c>
      <c r="I67" s="358" t="s">
        <v>2223</v>
      </c>
      <c r="J67" s="358" t="s">
        <v>2828</v>
      </c>
      <c r="K67" s="260"/>
      <c r="L67" s="260"/>
      <c r="M67" s="260"/>
      <c r="N67" s="260"/>
      <c r="O67" s="260"/>
      <c r="P67" s="211"/>
      <c r="Q67" s="261"/>
      <c r="R67" s="208" t="str">
        <f ca="1">IF(ISERROR($V67),"",OFFSET('Smelter Look-up'!$C$4,$V67-4,0)&amp;"")</f>
        <v>Ogussa Osterreichische Gold- und Silber-Scheideanstalt GmbH</v>
      </c>
      <c r="S67" s="215" t="str">
        <f t="shared" ca="1" si="6"/>
        <v>AT</v>
      </c>
      <c r="T67" s="215" t="str">
        <f ca="1">IF(B67="","",IF(ISERROR(MATCH($J67,SorP!$B$1:$B$6230,0)),"",INDIRECT("'SorP'!$A$"&amp;MATCH($J67,SorP!$B$1:$B$6230,0))))</f>
        <v>AT-9</v>
      </c>
      <c r="U67" s="231"/>
      <c r="V67" s="262">
        <f>IF(C67="",NA(),IF(OR(C67="Smelter not listed",C67="Smelter not yet identified"),MATCH($B67&amp;$D67,'Smelter Look-up'!$J:$J,0),MATCH($B67&amp;$C67,'Smelter Look-up'!$J:$J,0)))</f>
        <v>196</v>
      </c>
      <c r="W67" s="263"/>
      <c r="X67" s="263">
        <f t="shared" si="7"/>
        <v>0</v>
      </c>
      <c r="Y67" s="263"/>
      <c r="Z67" s="263"/>
      <c r="AB67" s="265" t="str">
        <f t="shared" si="8"/>
        <v>GoldOgussa Osterreichische Gold- und Silber-Scheideanstalt GmbH</v>
      </c>
    </row>
    <row r="68" spans="1:28" s="264" customFormat="1" ht="63.75">
      <c r="A68" s="207" t="s">
        <v>782</v>
      </c>
      <c r="B68" s="208" t="s">
        <v>1131</v>
      </c>
      <c r="C68" s="356" t="s">
        <v>627</v>
      </c>
      <c r="D68" s="270"/>
      <c r="E68" s="208" t="s">
        <v>15677</v>
      </c>
      <c r="F68" s="208" t="s">
        <v>782</v>
      </c>
      <c r="G68" s="208" t="s">
        <v>13320</v>
      </c>
      <c r="H68" s="357" t="s">
        <v>15752</v>
      </c>
      <c r="I68" s="358" t="s">
        <v>1779</v>
      </c>
      <c r="J68" s="358" t="s">
        <v>12931</v>
      </c>
      <c r="K68" s="260"/>
      <c r="L68" s="260"/>
      <c r="M68" s="260"/>
      <c r="N68" s="260"/>
      <c r="O68" s="260"/>
      <c r="P68" s="211"/>
      <c r="Q68" s="261"/>
      <c r="R68" s="208" t="str">
        <f ca="1">IF(ISERROR($V68),"",OFFSET('Smelter Look-up'!$C$4,$V68-4,0)&amp;"")</f>
        <v>PT Mitra Stania Prima</v>
      </c>
      <c r="S68" s="215" t="str">
        <f t="shared" ca="1" si="6"/>
        <v>ID</v>
      </c>
      <c r="T68" s="215" t="str">
        <f ca="1">IF(B68="","",IF(ISERROR(MATCH($J68,SorP!$B$1:$B$6230,0)),"",INDIRECT("'SorP'!$A$"&amp;MATCH($J68,SorP!$B$1:$B$6230,0))))</f>
        <v>ID-BB</v>
      </c>
      <c r="U68" s="231"/>
      <c r="V68" s="262">
        <f>IF(C68="",NA(),IF(OR(C68="Smelter not listed",C68="Smelter not yet identified"),MATCH($B68&amp;$D68,'Smelter Look-up'!$J:$J,0),MATCH($B68&amp;$C68,'Smelter Look-up'!$J:$J,0)))</f>
        <v>496</v>
      </c>
      <c r="W68" s="263"/>
      <c r="X68" s="263">
        <f t="shared" si="7"/>
        <v>0</v>
      </c>
      <c r="Y68" s="263"/>
      <c r="Z68" s="263"/>
      <c r="AB68" s="265" t="str">
        <f t="shared" si="8"/>
        <v>TinPT Mitra Stania Prima</v>
      </c>
    </row>
    <row r="69" spans="1:28" s="264" customFormat="1" ht="51">
      <c r="A69" s="207" t="s">
        <v>15223</v>
      </c>
      <c r="B69" s="208" t="s">
        <v>1131</v>
      </c>
      <c r="C69" s="356" t="s">
        <v>15222</v>
      </c>
      <c r="D69" s="270"/>
      <c r="E69" s="208" t="s">
        <v>15677</v>
      </c>
      <c r="F69" s="208" t="s">
        <v>15223</v>
      </c>
      <c r="G69" s="208" t="s">
        <v>13320</v>
      </c>
      <c r="H69" s="357"/>
      <c r="I69" s="358" t="s">
        <v>15248</v>
      </c>
      <c r="J69" s="358" t="s">
        <v>12931</v>
      </c>
      <c r="K69" s="260"/>
      <c r="L69" s="260"/>
      <c r="M69" s="260"/>
      <c r="N69" s="260"/>
      <c r="O69" s="260"/>
      <c r="P69" s="211"/>
      <c r="Q69" s="261"/>
      <c r="R69" s="208" t="str">
        <f ca="1">IF(ISERROR($V69),"",OFFSET('Smelter Look-up'!$C$4,$V69-4,0)&amp;"")</f>
        <v>PT Tinindo Inter Nusa</v>
      </c>
      <c r="S69" s="215" t="str">
        <f t="shared" ref="S69" ca="1" si="9">IF(B69="","",IF(ISERROR(MATCH($E69,CL,0)),"Unknown",INDIRECT("'C'!$A$"&amp;MATCH($E69,CL,0)+1)))</f>
        <v>ID</v>
      </c>
      <c r="T69" s="215" t="str">
        <f ca="1">IF(B69="","",IF(ISERROR(MATCH($J69,SorP!$B$1:$B$6230,0)),"",INDIRECT("'SorP'!$A$"&amp;MATCH($J69,SorP!$B$1:$B$6230,0))))</f>
        <v>ID-BB</v>
      </c>
      <c r="U69" s="231"/>
      <c r="V69" s="262">
        <f>IF(C69="",NA(),IF(OR(C69="Smelter not listed",C69="Smelter not yet identified"),MATCH($B69&amp;$D69,'Smelter Look-up'!$J:$J,0),MATCH($B69&amp;$C69,'Smelter Look-up'!$J:$J,0)))</f>
        <v>510</v>
      </c>
      <c r="W69" s="263"/>
      <c r="X69" s="263">
        <f t="shared" ref="X69" si="10">IF(AND(C69="Smelter not listed",OR(LEN(D69)=0,LEN(E69)=0)),1,0)</f>
        <v>0</v>
      </c>
      <c r="Y69" s="263"/>
      <c r="Z69" s="263"/>
      <c r="AB69" s="265" t="str">
        <f t="shared" ref="AB69" si="11">B69&amp;C69</f>
        <v>TinPT Tinindo Inter Nusa</v>
      </c>
    </row>
    <row r="70" spans="1:28" s="264" customFormat="1" ht="102">
      <c r="A70" s="207" t="s">
        <v>728</v>
      </c>
      <c r="B70" s="208" t="s">
        <v>1130</v>
      </c>
      <c r="C70" s="356" t="s">
        <v>2174</v>
      </c>
      <c r="D70" s="270"/>
      <c r="E70" s="208" t="s">
        <v>15675</v>
      </c>
      <c r="F70" s="208" t="s">
        <v>728</v>
      </c>
      <c r="G70" s="208" t="s">
        <v>13320</v>
      </c>
      <c r="H70" s="357" t="s">
        <v>15753</v>
      </c>
      <c r="I70" s="358" t="s">
        <v>1592</v>
      </c>
      <c r="J70" s="358" t="s">
        <v>13700</v>
      </c>
      <c r="K70" s="260"/>
      <c r="L70" s="260"/>
      <c r="M70" s="260"/>
      <c r="N70" s="260"/>
      <c r="O70" s="260"/>
      <c r="P70" s="211"/>
      <c r="Q70" s="261"/>
      <c r="R70" s="208" t="str">
        <f ca="1">IF(ISERROR($V70),"",OFFSET('Smelter Look-up'!$C$4,$V70-4,0)&amp;"")</f>
        <v>Shandong Zhaojin Gold &amp; Silver Refinery Co., Ltd.</v>
      </c>
      <c r="S70" s="215" t="str">
        <f t="shared" ref="S70:S101" ca="1" si="12">IF(B70="","",IF(ISERROR(MATCH($E70,CL,0)),"Unknown",INDIRECT("'C'!$A$"&amp;MATCH($E70,CL,0)+1)))</f>
        <v>CN</v>
      </c>
      <c r="T70" s="215" t="str">
        <f ca="1">IF(B70="","",IF(ISERROR(MATCH($J70,SorP!$B$1:$B$6230,0)),"",INDIRECT("'SorP'!$A$"&amp;MATCH($J70,SorP!$B$1:$B$6230,0))))</f>
        <v>CN-SD</v>
      </c>
      <c r="U70" s="231"/>
      <c r="V70" s="262">
        <f>IF(C70="",NA(),IF(OR(C70="Smelter not listed",C70="Smelter not yet identified"),MATCH($B70&amp;$D70,'Smelter Look-up'!$J:$J,0),MATCH($B70&amp;$C70,'Smelter Look-up'!$J:$J,0)))</f>
        <v>246</v>
      </c>
      <c r="W70" s="263"/>
      <c r="X70" s="263">
        <f t="shared" ref="X70:X101" si="13">IF(AND(C70="Smelter not listed",OR(LEN(D70)=0,LEN(E70)=0)),1,0)</f>
        <v>0</v>
      </c>
      <c r="Y70" s="263"/>
      <c r="Z70" s="263"/>
      <c r="AB70" s="265" t="str">
        <f t="shared" ref="AB70:AB101" si="14">B70&amp;C70</f>
        <v>GoldShandong Zhaojin Gold &amp; Silver Refinery Co., Ltd.</v>
      </c>
    </row>
    <row r="71" spans="1:28" s="264" customFormat="1" ht="102">
      <c r="A71" s="207" t="s">
        <v>1813</v>
      </c>
      <c r="B71" s="208" t="s">
        <v>1131</v>
      </c>
      <c r="C71" s="356" t="s">
        <v>1812</v>
      </c>
      <c r="D71" s="270"/>
      <c r="E71" s="208" t="s">
        <v>15675</v>
      </c>
      <c r="F71" s="208" t="s">
        <v>1813</v>
      </c>
      <c r="G71" s="208" t="s">
        <v>13320</v>
      </c>
      <c r="H71" s="357" t="s">
        <v>15754</v>
      </c>
      <c r="I71" s="358" t="s">
        <v>2470</v>
      </c>
      <c r="J71" s="358" t="s">
        <v>13708</v>
      </c>
      <c r="K71" s="260"/>
      <c r="L71" s="260"/>
      <c r="M71" s="260"/>
      <c r="N71" s="260"/>
      <c r="O71" s="260"/>
      <c r="P71" s="211"/>
      <c r="Q71" s="261"/>
      <c r="R71" s="208" t="str">
        <f ca="1">IF(ISERROR($V71),"",OFFSET('Smelter Look-up'!$C$4,$V71-4,0)&amp;"")</f>
        <v>Gejiu Yunxin Nonferrous Electrolysis Co., Ltd.</v>
      </c>
      <c r="S71" s="215" t="str">
        <f t="shared" ca="1" si="12"/>
        <v>CN</v>
      </c>
      <c r="T71" s="215" t="str">
        <f ca="1">IF(B71="","",IF(ISERROR(MATCH($J71,SorP!$B$1:$B$6230,0)),"",INDIRECT("'SorP'!$A$"&amp;MATCH($J71,SorP!$B$1:$B$6230,0))))</f>
        <v>CN-YN</v>
      </c>
      <c r="U71" s="231"/>
      <c r="V71" s="262">
        <f>IF(C71="",NA(),IF(OR(C71="Smelter not listed",C71="Smelter not yet identified"),MATCH($B71&amp;$D71,'Smelter Look-up'!$J:$J,0),MATCH($B71&amp;$C71,'Smelter Look-up'!$J:$J,0)))</f>
        <v>434</v>
      </c>
      <c r="W71" s="263"/>
      <c r="X71" s="263">
        <f t="shared" si="13"/>
        <v>0</v>
      </c>
      <c r="Y71" s="263"/>
      <c r="Z71" s="263"/>
      <c r="AB71" s="265" t="str">
        <f t="shared" si="14"/>
        <v>TinGejiu Yunxin Nonferrous Electrolysis Co., Ltd.</v>
      </c>
    </row>
    <row r="72" spans="1:28" s="264" customFormat="1" ht="102">
      <c r="A72" s="207" t="s">
        <v>790</v>
      </c>
      <c r="B72" s="208" t="s">
        <v>1131</v>
      </c>
      <c r="C72" s="356" t="s">
        <v>2181</v>
      </c>
      <c r="D72" s="270"/>
      <c r="E72" s="208" t="s">
        <v>15675</v>
      </c>
      <c r="F72" s="208" t="s">
        <v>790</v>
      </c>
      <c r="G72" s="208" t="s">
        <v>13320</v>
      </c>
      <c r="H72" s="357" t="s">
        <v>15755</v>
      </c>
      <c r="I72" s="358" t="s">
        <v>2470</v>
      </c>
      <c r="J72" s="358" t="s">
        <v>13708</v>
      </c>
      <c r="K72" s="260"/>
      <c r="L72" s="260"/>
      <c r="M72" s="260"/>
      <c r="N72" s="260"/>
      <c r="O72" s="260"/>
      <c r="P72" s="211"/>
      <c r="Q72" s="261"/>
      <c r="R72" s="208" t="str">
        <f ca="1">IF(ISERROR($V72),"",OFFSET('Smelter Look-up'!$C$4,$V72-4,0)&amp;"")</f>
        <v>Yunnan Chengfeng Non-ferrous Metals Co., Ltd.</v>
      </c>
      <c r="S72" s="215" t="str">
        <f t="shared" ca="1" si="12"/>
        <v>CN</v>
      </c>
      <c r="T72" s="215" t="str">
        <f ca="1">IF(B72="","",IF(ISERROR(MATCH($J72,SorP!$B$1:$B$6230,0)),"",INDIRECT("'SorP'!$A$"&amp;MATCH($J72,SorP!$B$1:$B$6230,0))))</f>
        <v>CN-YN</v>
      </c>
      <c r="U72" s="231"/>
      <c r="V72" s="262">
        <f>IF(C72="",NA(),IF(OR(C72="Smelter not listed",C72="Smelter not yet identified"),MATCH($B72&amp;$D72,'Smelter Look-up'!$J:$J,0),MATCH($B72&amp;$C72,'Smelter Look-up'!$J:$J,0)))</f>
        <v>540</v>
      </c>
      <c r="W72" s="263"/>
      <c r="X72" s="263">
        <f t="shared" si="13"/>
        <v>0</v>
      </c>
      <c r="Y72" s="263"/>
      <c r="Z72" s="263"/>
      <c r="AB72" s="265" t="str">
        <f t="shared" si="14"/>
        <v>TinYunnan Chengfeng Non-ferrous Metals Co., Ltd.</v>
      </c>
    </row>
    <row r="73" spans="1:28" s="264" customFormat="1" ht="63.75">
      <c r="A73" s="207" t="s">
        <v>791</v>
      </c>
      <c r="B73" s="208" t="s">
        <v>1131</v>
      </c>
      <c r="C73" s="356" t="s">
        <v>2365</v>
      </c>
      <c r="D73" s="270"/>
      <c r="E73" s="208" t="s">
        <v>15675</v>
      </c>
      <c r="F73" s="208" t="s">
        <v>791</v>
      </c>
      <c r="G73" s="208" t="s">
        <v>13320</v>
      </c>
      <c r="H73" s="357" t="s">
        <v>15756</v>
      </c>
      <c r="I73" s="358" t="s">
        <v>2470</v>
      </c>
      <c r="J73" s="358" t="s">
        <v>13708</v>
      </c>
      <c r="K73" s="260"/>
      <c r="L73" s="260"/>
      <c r="M73" s="260"/>
      <c r="N73" s="260"/>
      <c r="O73" s="260"/>
      <c r="P73" s="211"/>
      <c r="Q73" s="261"/>
      <c r="R73" s="208" t="str">
        <f ca="1">IF(ISERROR($V73),"",OFFSET('Smelter Look-up'!$C$4,$V73-4,0)&amp;"")</f>
        <v>Tin Smelting Branch of Yunnan Tin Co., Ltd.</v>
      </c>
      <c r="S73" s="215" t="str">
        <f t="shared" ca="1" si="12"/>
        <v>CN</v>
      </c>
      <c r="T73" s="215" t="str">
        <f ca="1">IF(B73="","",IF(ISERROR(MATCH($J73,SorP!$B$1:$B$6230,0)),"",INDIRECT("'SorP'!$A$"&amp;MATCH($J73,SorP!$B$1:$B$6230,0))))</f>
        <v>CN-YN</v>
      </c>
      <c r="U73" s="231"/>
      <c r="V73" s="262">
        <f>IF(C73="",NA(),IF(OR(C73="Smelter not listed",C73="Smelter not yet identified"),MATCH($B73&amp;$D73,'Smelter Look-up'!$J:$J,0),MATCH($B73&amp;$C73,'Smelter Look-up'!$J:$J,0)))</f>
        <v>544</v>
      </c>
      <c r="W73" s="263"/>
      <c r="X73" s="263">
        <f t="shared" si="13"/>
        <v>0</v>
      </c>
      <c r="Y73" s="263"/>
      <c r="Z73" s="263"/>
      <c r="AB73" s="265" t="str">
        <f t="shared" si="14"/>
        <v>TinYunnan Tin Company Limited</v>
      </c>
    </row>
    <row r="74" spans="1:28" s="264" customFormat="1" ht="51">
      <c r="A74" s="207" t="s">
        <v>15200</v>
      </c>
      <c r="B74" s="208" t="s">
        <v>1131</v>
      </c>
      <c r="C74" s="356" t="s">
        <v>15199</v>
      </c>
      <c r="D74" s="270"/>
      <c r="E74" s="208" t="s">
        <v>15677</v>
      </c>
      <c r="F74" s="208" t="s">
        <v>15200</v>
      </c>
      <c r="G74" s="208" t="s">
        <v>13320</v>
      </c>
      <c r="H74" s="357"/>
      <c r="I74" s="358" t="s">
        <v>15248</v>
      </c>
      <c r="J74" s="358" t="s">
        <v>12931</v>
      </c>
      <c r="K74" s="260"/>
      <c r="L74" s="260"/>
      <c r="M74" s="260"/>
      <c r="N74" s="260"/>
      <c r="O74" s="260"/>
      <c r="P74" s="211"/>
      <c r="Q74" s="261"/>
      <c r="R74" s="208" t="str">
        <f ca="1">IF(ISERROR($V74),"",OFFSET('Smelter Look-up'!$C$4,$V74-4,0)&amp;"")</f>
        <v>CV Venus Inti Perkasa</v>
      </c>
      <c r="S74" s="215" t="str">
        <f t="shared" ca="1" si="12"/>
        <v>ID</v>
      </c>
      <c r="T74" s="215" t="str">
        <f ca="1">IF(B74="","",IF(ISERROR(MATCH($J74,SorP!$B$1:$B$6230,0)),"",INDIRECT("'SorP'!$A$"&amp;MATCH($J74,SorP!$B$1:$B$6230,0))))</f>
        <v>ID-BB</v>
      </c>
      <c r="U74" s="231"/>
      <c r="V74" s="262">
        <f>IF(C74="",NA(),IF(OR(C74="Smelter not listed",C74="Smelter not yet identified"),MATCH($B74&amp;$D74,'Smelter Look-up'!$J:$J,0),MATCH($B74&amp;$C74,'Smelter Look-up'!$J:$J,0)))</f>
        <v>412</v>
      </c>
      <c r="W74" s="263"/>
      <c r="X74" s="263">
        <f t="shared" si="13"/>
        <v>0</v>
      </c>
      <c r="Y74" s="263"/>
      <c r="Z74" s="263"/>
      <c r="AB74" s="265" t="str">
        <f t="shared" si="14"/>
        <v>TinCV Venus Inti Perkasa</v>
      </c>
    </row>
    <row r="75" spans="1:28" s="264" customFormat="1" ht="76.5">
      <c r="A75" s="207" t="s">
        <v>731</v>
      </c>
      <c r="B75" s="208" t="s">
        <v>1130</v>
      </c>
      <c r="C75" s="356" t="s">
        <v>58</v>
      </c>
      <c r="D75" s="270"/>
      <c r="E75" s="208" t="s">
        <v>15679</v>
      </c>
      <c r="F75" s="208" t="s">
        <v>731</v>
      </c>
      <c r="G75" s="208" t="s">
        <v>13320</v>
      </c>
      <c r="H75" s="357" t="s">
        <v>15757</v>
      </c>
      <c r="I75" s="358" t="s">
        <v>1670</v>
      </c>
      <c r="J75" s="358" t="s">
        <v>2229</v>
      </c>
      <c r="K75" s="260"/>
      <c r="L75" s="260"/>
      <c r="M75" s="260"/>
      <c r="N75" s="260"/>
      <c r="O75" s="260"/>
      <c r="P75" s="211"/>
      <c r="Q75" s="261"/>
      <c r="R75" s="208" t="str">
        <f ca="1">IF(ISERROR($V75),"",OFFSET('Smelter Look-up'!$C$4,$V75-4,0)&amp;"")</f>
        <v>Sumitomo Metal Mining Co., Ltd.</v>
      </c>
      <c r="S75" s="215" t="str">
        <f t="shared" ca="1" si="12"/>
        <v>JP</v>
      </c>
      <c r="T75" s="215" t="str">
        <f ca="1">IF(B75="","",IF(ISERROR(MATCH($J75,SorP!$B$1:$B$6230,0)),"",INDIRECT("'SorP'!$A$"&amp;MATCH($J75,SorP!$B$1:$B$6230,0))))</f>
        <v>JP-38</v>
      </c>
      <c r="U75" s="231"/>
      <c r="V75" s="262">
        <f>IF(C75="",NA(),IF(OR(C75="Smelter not listed",C75="Smelter not yet identified"),MATCH($B75&amp;$D75,'Smelter Look-up'!$J:$J,0),MATCH($B75&amp;$C75,'Smelter Look-up'!$J:$J,0)))</f>
        <v>265</v>
      </c>
      <c r="W75" s="263"/>
      <c r="X75" s="263">
        <f t="shared" si="13"/>
        <v>0</v>
      </c>
      <c r="Y75" s="263"/>
      <c r="Z75" s="263"/>
      <c r="AB75" s="265" t="str">
        <f t="shared" si="14"/>
        <v>GoldSumitomo Metal Mining Co., Ltd.</v>
      </c>
    </row>
    <row r="76" spans="1:28" s="264" customFormat="1" ht="51">
      <c r="A76" s="207" t="s">
        <v>1829</v>
      </c>
      <c r="B76" s="208" t="s">
        <v>1131</v>
      </c>
      <c r="C76" s="356" t="s">
        <v>13012</v>
      </c>
      <c r="D76" s="270"/>
      <c r="E76" s="208" t="s">
        <v>15743</v>
      </c>
      <c r="F76" s="208" t="s">
        <v>1829</v>
      </c>
      <c r="G76" s="208" t="s">
        <v>13320</v>
      </c>
      <c r="H76" s="357" t="s">
        <v>15758</v>
      </c>
      <c r="I76" s="358" t="s">
        <v>1830</v>
      </c>
      <c r="J76" s="358" t="s">
        <v>3177</v>
      </c>
      <c r="K76" s="260"/>
      <c r="L76" s="260"/>
      <c r="M76" s="260"/>
      <c r="N76" s="260"/>
      <c r="O76" s="260"/>
      <c r="P76" s="211"/>
      <c r="Q76" s="261"/>
      <c r="R76" s="208" t="str">
        <f ca="1">IF(ISERROR($V76),"",OFFSET('Smelter Look-up'!$C$4,$V76-4,0)&amp;"")</f>
        <v>Metallo Belgium N.V.</v>
      </c>
      <c r="S76" s="215" t="str">
        <f t="shared" ca="1" si="12"/>
        <v>BE</v>
      </c>
      <c r="T76" s="215" t="str">
        <f ca="1">IF(B76="","",IF(ISERROR(MATCH($J76,SorP!$B$1:$B$6230,0)),"",INDIRECT("'SorP'!$A$"&amp;MATCH($J76,SorP!$B$1:$B$6230,0))))</f>
        <v>BE-VAN</v>
      </c>
      <c r="U76" s="231"/>
      <c r="V76" s="262">
        <f>IF(C76="",NA(),IF(OR(C76="Smelter not listed",C76="Smelter not yet identified"),MATCH($B76&amp;$D76,'Smelter Look-up'!$J:$J,0),MATCH($B76&amp;$C76,'Smelter Look-up'!$J:$J,0)))</f>
        <v>462</v>
      </c>
      <c r="W76" s="263"/>
      <c r="X76" s="263">
        <f t="shared" si="13"/>
        <v>0</v>
      </c>
      <c r="Y76" s="263"/>
      <c r="Z76" s="263"/>
      <c r="AB76" s="265" t="str">
        <f t="shared" si="14"/>
        <v>TinMetallo Belgium N.V.</v>
      </c>
    </row>
    <row r="77" spans="1:28" s="264" customFormat="1" ht="51">
      <c r="A77" s="207" t="s">
        <v>14119</v>
      </c>
      <c r="B77" s="208" t="s">
        <v>1131</v>
      </c>
      <c r="C77" s="356" t="s">
        <v>13016</v>
      </c>
      <c r="D77" s="270"/>
      <c r="E77" s="208" t="s">
        <v>15677</v>
      </c>
      <c r="F77" s="208" t="s">
        <v>14119</v>
      </c>
      <c r="G77" s="208" t="s">
        <v>13320</v>
      </c>
      <c r="H77" s="357" t="s">
        <v>15759</v>
      </c>
      <c r="I77" s="358" t="s">
        <v>15252</v>
      </c>
      <c r="J77" s="358" t="s">
        <v>12931</v>
      </c>
      <c r="K77" s="260"/>
      <c r="L77" s="260"/>
      <c r="M77" s="260"/>
      <c r="N77" s="260"/>
      <c r="O77" s="260"/>
      <c r="P77" s="211"/>
      <c r="Q77" s="261"/>
      <c r="R77" s="208" t="str">
        <f ca="1">IF(ISERROR($V77),"",OFFSET('Smelter Look-up'!$C$4,$V77-4,0)&amp;"")</f>
        <v>PT Bangka Serumpun</v>
      </c>
      <c r="S77" s="215" t="str">
        <f t="shared" ca="1" si="12"/>
        <v>ID</v>
      </c>
      <c r="T77" s="215" t="str">
        <f ca="1">IF(B77="","",IF(ISERROR(MATCH($J77,SorP!$B$1:$B$6230,0)),"",INDIRECT("'SorP'!$A$"&amp;MATCH($J77,SorP!$B$1:$B$6230,0))))</f>
        <v>ID-BB</v>
      </c>
      <c r="U77" s="231"/>
      <c r="V77" s="262">
        <f>IF(C77="",NA(),IF(OR(C77="Smelter not listed",C77="Smelter not yet identified"),MATCH($B77&amp;$D77,'Smelter Look-up'!$J:$J,0),MATCH($B77&amp;$C77,'Smelter Look-up'!$J:$J,0)))</f>
        <v>488</v>
      </c>
      <c r="W77" s="263"/>
      <c r="X77" s="263">
        <f t="shared" si="13"/>
        <v>0</v>
      </c>
      <c r="Y77" s="263"/>
      <c r="Z77" s="263"/>
      <c r="AB77" s="265" t="str">
        <f t="shared" si="14"/>
        <v>TinPT Bangka Serumpun</v>
      </c>
    </row>
    <row r="78" spans="1:28" s="264" customFormat="1" ht="63.75">
      <c r="A78" s="207" t="s">
        <v>13884</v>
      </c>
      <c r="B78" s="208" t="s">
        <v>1131</v>
      </c>
      <c r="C78" s="356" t="s">
        <v>13883</v>
      </c>
      <c r="D78" s="270"/>
      <c r="E78" s="208" t="s">
        <v>15675</v>
      </c>
      <c r="F78" s="208" t="s">
        <v>13884</v>
      </c>
      <c r="G78" s="208" t="s">
        <v>13320</v>
      </c>
      <c r="H78" s="357" t="s">
        <v>15760</v>
      </c>
      <c r="I78" s="358" t="s">
        <v>13922</v>
      </c>
      <c r="J78" s="358" t="s">
        <v>13697</v>
      </c>
      <c r="K78" s="260"/>
      <c r="L78" s="260"/>
      <c r="M78" s="260"/>
      <c r="N78" s="260"/>
      <c r="O78" s="260"/>
      <c r="P78" s="211"/>
      <c r="Q78" s="261"/>
      <c r="R78" s="208" t="str">
        <f ca="1">IF(ISERROR($V78),"",OFFSET('Smelter Look-up'!$C$4,$V78-4,0)&amp;"")</f>
        <v>Ma'anshan Weitai Tin Co., Ltd.</v>
      </c>
      <c r="S78" s="215" t="str">
        <f t="shared" ca="1" si="12"/>
        <v>CN</v>
      </c>
      <c r="T78" s="215" t="str">
        <f ca="1">IF(B78="","",IF(ISERROR(MATCH($J78,SorP!$B$1:$B$6230,0)),"",INDIRECT("'SorP'!$A$"&amp;MATCH($J78,SorP!$B$1:$B$6230,0))))</f>
        <v>CN-AH</v>
      </c>
      <c r="U78" s="231"/>
      <c r="V78" s="262">
        <f>IF(C78="",NA(),IF(OR(C78="Smelter not listed",C78="Smelter not yet identified"),MATCH($B78&amp;$D78,'Smelter Look-up'!$J:$J,0),MATCH($B78&amp;$C78,'Smelter Look-up'!$J:$J,0)))</f>
        <v>455</v>
      </c>
      <c r="W78" s="263"/>
      <c r="X78" s="263">
        <f t="shared" si="13"/>
        <v>0</v>
      </c>
      <c r="Y78" s="263"/>
      <c r="Z78" s="263"/>
      <c r="AB78" s="265" t="str">
        <f t="shared" si="14"/>
        <v>TinMa'anshan Weitai Tin Co., Ltd.</v>
      </c>
    </row>
    <row r="79" spans="1:28" s="264" customFormat="1" ht="89.25">
      <c r="A79" s="207" t="s">
        <v>13890</v>
      </c>
      <c r="B79" s="208" t="s">
        <v>1131</v>
      </c>
      <c r="C79" s="356" t="s">
        <v>13889</v>
      </c>
      <c r="D79" s="270"/>
      <c r="E79" s="208" t="s">
        <v>15761</v>
      </c>
      <c r="F79" s="208" t="s">
        <v>13890</v>
      </c>
      <c r="G79" s="208" t="s">
        <v>13320</v>
      </c>
      <c r="H79" s="357" t="s">
        <v>15762</v>
      </c>
      <c r="I79" s="358" t="s">
        <v>13916</v>
      </c>
      <c r="J79" s="358" t="s">
        <v>12213</v>
      </c>
      <c r="K79" s="260"/>
      <c r="L79" s="260"/>
      <c r="M79" s="260"/>
      <c r="N79" s="260"/>
      <c r="O79" s="260"/>
      <c r="P79" s="211"/>
      <c r="Q79" s="261"/>
      <c r="R79" s="208" t="str">
        <f ca="1">IF(ISERROR($V79),"",OFFSET('Smelter Look-up'!$C$4,$V79-4,0)&amp;"")</f>
        <v>Thai Nguyen Mining and Metallurgy Co., Ltd.</v>
      </c>
      <c r="S79" s="215" t="str">
        <f t="shared" ca="1" si="12"/>
        <v>VN</v>
      </c>
      <c r="T79" s="215" t="str">
        <f ca="1">IF(B79="","",IF(ISERROR(MATCH($J79,SorP!$B$1:$B$6230,0)),"",INDIRECT("'SorP'!$A$"&amp;MATCH($J79,SorP!$B$1:$B$6230,0))))</f>
        <v>VN-69</v>
      </c>
      <c r="U79" s="231"/>
      <c r="V79" s="262">
        <f>IF(C79="",NA(),IF(OR(C79="Smelter not listed",C79="Smelter not yet identified"),MATCH($B79&amp;$D79,'Smelter Look-up'!$J:$J,0),MATCH($B79&amp;$C79,'Smelter Look-up'!$J:$J,0)))</f>
        <v>520</v>
      </c>
      <c r="W79" s="263"/>
      <c r="X79" s="263">
        <f t="shared" si="13"/>
        <v>0</v>
      </c>
      <c r="Y79" s="263"/>
      <c r="Z79" s="263"/>
      <c r="AB79" s="265" t="str">
        <f t="shared" si="14"/>
        <v>TinThai Nguyen Mining and Metallurgy Co., Ltd.</v>
      </c>
    </row>
    <row r="80" spans="1:28" s="264" customFormat="1" ht="102">
      <c r="A80" s="207" t="s">
        <v>2553</v>
      </c>
      <c r="B80" s="208" t="s">
        <v>1131</v>
      </c>
      <c r="C80" s="356" t="s">
        <v>2552</v>
      </c>
      <c r="D80" s="270"/>
      <c r="E80" s="208" t="s">
        <v>15675</v>
      </c>
      <c r="F80" s="208" t="s">
        <v>2553</v>
      </c>
      <c r="G80" s="208" t="s">
        <v>13320</v>
      </c>
      <c r="H80" s="357" t="s">
        <v>15763</v>
      </c>
      <c r="I80" s="358" t="s">
        <v>1838</v>
      </c>
      <c r="J80" s="358" t="s">
        <v>13704</v>
      </c>
      <c r="K80" s="260"/>
      <c r="L80" s="260"/>
      <c r="M80" s="260"/>
      <c r="N80" s="260"/>
      <c r="O80" s="260"/>
      <c r="P80" s="211"/>
      <c r="Q80" s="261"/>
      <c r="R80" s="208" t="str">
        <f ca="1">IF(ISERROR($V80),"",OFFSET('Smelter Look-up'!$C$4,$V80-4,0)&amp;"")</f>
        <v>Guangdong Hanhe Non-Ferrous Metal Co., Ltd.</v>
      </c>
      <c r="S80" s="215" t="str">
        <f t="shared" ca="1" si="12"/>
        <v>CN</v>
      </c>
      <c r="T80" s="215" t="str">
        <f ca="1">IF(B80="","",IF(ISERROR(MATCH($J80,SorP!$B$1:$B$6230,0)),"",INDIRECT("'SorP'!$A$"&amp;MATCH($J80,SorP!$B$1:$B$6230,0))))</f>
        <v>CN-GD</v>
      </c>
      <c r="U80" s="231"/>
      <c r="V80" s="262">
        <f>IF(C80="",NA(),IF(OR(C80="Smelter not listed",C80="Smelter not yet identified"),MATCH($B80&amp;$D80,'Smelter Look-up'!$J:$J,0),MATCH($B80&amp;$C80,'Smelter Look-up'!$J:$J,0)))</f>
        <v>439</v>
      </c>
      <c r="W80" s="263"/>
      <c r="X80" s="263">
        <f t="shared" si="13"/>
        <v>0</v>
      </c>
      <c r="Y80" s="263"/>
      <c r="Z80" s="263"/>
      <c r="AB80" s="265" t="str">
        <f t="shared" si="14"/>
        <v>TinGuangdong Hanhe Non-Ferrous Metal Co., Ltd.</v>
      </c>
    </row>
    <row r="81" spans="1:28" s="264" customFormat="1" ht="51">
      <c r="A81" s="207" t="s">
        <v>15217</v>
      </c>
      <c r="B81" s="208" t="s">
        <v>1131</v>
      </c>
      <c r="C81" s="356" t="s">
        <v>15216</v>
      </c>
      <c r="D81" s="270"/>
      <c r="E81" s="208" t="s">
        <v>15677</v>
      </c>
      <c r="F81" s="208" t="s">
        <v>15217</v>
      </c>
      <c r="G81" s="208" t="s">
        <v>13320</v>
      </c>
      <c r="H81" s="357" t="s">
        <v>15764</v>
      </c>
      <c r="I81" s="358" t="s">
        <v>15254</v>
      </c>
      <c r="J81" s="358" t="s">
        <v>12931</v>
      </c>
      <c r="K81" s="260"/>
      <c r="L81" s="260"/>
      <c r="M81" s="260"/>
      <c r="N81" s="260"/>
      <c r="O81" s="260"/>
      <c r="P81" s="211"/>
      <c r="Q81" s="261"/>
      <c r="R81" s="208" t="str">
        <f ca="1">IF(ISERROR($V81),"",OFFSET('Smelter Look-up'!$C$4,$V81-4,0)&amp;"")</f>
        <v>PT Rajawali Rimba Perkasa</v>
      </c>
      <c r="S81" s="215" t="str">
        <f t="shared" ca="1" si="12"/>
        <v>ID</v>
      </c>
      <c r="T81" s="215" t="str">
        <f ca="1">IF(B81="","",IF(ISERROR(MATCH($J81,SorP!$B$1:$B$6230,0)),"",INDIRECT("'SorP'!$A$"&amp;MATCH($J81,SorP!$B$1:$B$6230,0))))</f>
        <v>ID-BB</v>
      </c>
      <c r="U81" s="231"/>
      <c r="V81" s="262">
        <f>IF(C81="",NA(),IF(OR(C81="Smelter not listed",C81="Smelter not yet identified"),MATCH($B81&amp;$D81,'Smelter Look-up'!$J:$J,0),MATCH($B81&amp;$C81,'Smelter Look-up'!$J:$J,0)))</f>
        <v>501</v>
      </c>
      <c r="W81" s="263"/>
      <c r="X81" s="263">
        <f t="shared" si="13"/>
        <v>0</v>
      </c>
      <c r="Y81" s="263"/>
      <c r="Z81" s="263"/>
      <c r="AB81" s="265" t="str">
        <f t="shared" si="14"/>
        <v>TinPT Rajawali Rimba Perkasa</v>
      </c>
    </row>
    <row r="82" spans="1:28" s="264" customFormat="1" ht="63.75">
      <c r="A82" s="207" t="s">
        <v>2221</v>
      </c>
      <c r="B82" s="208" t="s">
        <v>1130</v>
      </c>
      <c r="C82" s="356" t="s">
        <v>2218</v>
      </c>
      <c r="D82" s="270"/>
      <c r="E82" s="208" t="s">
        <v>15669</v>
      </c>
      <c r="F82" s="208" t="s">
        <v>2221</v>
      </c>
      <c r="G82" s="208" t="s">
        <v>13320</v>
      </c>
      <c r="H82" s="357" t="s">
        <v>15765</v>
      </c>
      <c r="I82" s="358" t="s">
        <v>1549</v>
      </c>
      <c r="J82" s="358" t="s">
        <v>1550</v>
      </c>
      <c r="K82" s="260"/>
      <c r="L82" s="260"/>
      <c r="M82" s="260"/>
      <c r="N82" s="260"/>
      <c r="O82" s="260"/>
      <c r="P82" s="211"/>
      <c r="Q82" s="261"/>
      <c r="R82" s="208" t="str">
        <f ca="1">IF(ISERROR($V82),"",OFFSET('Smelter Look-up'!$C$4,$V82-4,0)&amp;"")</f>
        <v>WIELAND Edelmetalle GmbH</v>
      </c>
      <c r="S82" s="215" t="str">
        <f t="shared" ca="1" si="12"/>
        <v>DE</v>
      </c>
      <c r="T82" s="215" t="str">
        <f ca="1">IF(B82="","",IF(ISERROR(MATCH($J82,SorP!$B$1:$B$6230,0)),"",INDIRECT("'SorP'!$A$"&amp;MATCH($J82,SorP!$B$1:$B$6230,0))))</f>
        <v>DE-BW</v>
      </c>
      <c r="U82" s="231"/>
      <c r="V82" s="262">
        <f>IF(C82="",NA(),IF(OR(C82="Smelter not listed",C82="Smelter not yet identified"),MATCH($B82&amp;$D82,'Smelter Look-up'!$J:$J,0),MATCH($B82&amp;$C82,'Smelter Look-up'!$J:$J,0)))</f>
        <v>299</v>
      </c>
      <c r="W82" s="263"/>
      <c r="X82" s="263">
        <f t="shared" si="13"/>
        <v>0</v>
      </c>
      <c r="Y82" s="263"/>
      <c r="Z82" s="263"/>
      <c r="AB82" s="265" t="str">
        <f t="shared" si="14"/>
        <v>GoldWIELAND Edelmetalle GmbH</v>
      </c>
    </row>
    <row r="83" spans="1:28" s="264" customFormat="1" ht="63.75">
      <c r="A83" s="207" t="s">
        <v>15213</v>
      </c>
      <c r="B83" s="208" t="s">
        <v>1131</v>
      </c>
      <c r="C83" s="356" t="s">
        <v>15212</v>
      </c>
      <c r="D83" s="270"/>
      <c r="E83" s="208" t="s">
        <v>15677</v>
      </c>
      <c r="F83" s="208" t="s">
        <v>15213</v>
      </c>
      <c r="G83" s="208" t="s">
        <v>13320</v>
      </c>
      <c r="H83" s="357" t="s">
        <v>15766</v>
      </c>
      <c r="I83" s="358" t="s">
        <v>15253</v>
      </c>
      <c r="J83" s="358" t="s">
        <v>12931</v>
      </c>
      <c r="K83" s="260"/>
      <c r="L83" s="260"/>
      <c r="M83" s="260"/>
      <c r="N83" s="260"/>
      <c r="O83" s="260"/>
      <c r="P83" s="211"/>
      <c r="Q83" s="261"/>
      <c r="R83" s="208" t="str">
        <f ca="1">IF(ISERROR($V83),"",OFFSET('Smelter Look-up'!$C$4,$V83-4,0)&amp;"")</f>
        <v>PT Menara Cipta Mulia</v>
      </c>
      <c r="S83" s="215" t="str">
        <f t="shared" ca="1" si="12"/>
        <v>ID</v>
      </c>
      <c r="T83" s="215" t="str">
        <f ca="1">IF(B83="","",IF(ISERROR(MATCH($J83,SorP!$B$1:$B$6230,0)),"",INDIRECT("'SorP'!$A$"&amp;MATCH($J83,SorP!$B$1:$B$6230,0))))</f>
        <v>ID-BB</v>
      </c>
      <c r="U83" s="231"/>
      <c r="V83" s="262">
        <f>IF(C83="",NA(),IF(OR(C83="Smelter not listed",C83="Smelter not yet identified"),MATCH($B83&amp;$D83,'Smelter Look-up'!$J:$J,0),MATCH($B83&amp;$C83,'Smelter Look-up'!$J:$J,0)))</f>
        <v>495</v>
      </c>
      <c r="W83" s="263"/>
      <c r="X83" s="263">
        <f t="shared" si="13"/>
        <v>0</v>
      </c>
      <c r="Y83" s="263"/>
      <c r="Z83" s="263"/>
      <c r="AB83" s="265" t="str">
        <f t="shared" si="14"/>
        <v>TinPT Menara Cipta Mulia</v>
      </c>
    </row>
    <row r="84" spans="1:28" s="264" customFormat="1" ht="51">
      <c r="A84" s="207" t="s">
        <v>13264</v>
      </c>
      <c r="B84" s="208" t="s">
        <v>1131</v>
      </c>
      <c r="C84" s="356" t="s">
        <v>13263</v>
      </c>
      <c r="D84" s="270"/>
      <c r="E84" s="208" t="s">
        <v>15693</v>
      </c>
      <c r="F84" s="208" t="s">
        <v>13264</v>
      </c>
      <c r="G84" s="208" t="s">
        <v>13320</v>
      </c>
      <c r="H84" s="357" t="s">
        <v>15767</v>
      </c>
      <c r="I84" s="358" t="s">
        <v>13265</v>
      </c>
      <c r="J84" s="358" t="s">
        <v>1748</v>
      </c>
      <c r="K84" s="260"/>
      <c r="L84" s="260"/>
      <c r="M84" s="260"/>
      <c r="N84" s="260"/>
      <c r="O84" s="260"/>
      <c r="P84" s="211"/>
      <c r="Q84" s="261"/>
      <c r="R84" s="208" t="str">
        <f ca="1">IF(ISERROR($V84),"",OFFSET('Smelter Look-up'!$C$4,$V84-4,0)&amp;"")</f>
        <v>Tin Technology &amp; Refining</v>
      </c>
      <c r="S84" s="215" t="str">
        <f t="shared" ca="1" si="12"/>
        <v>US</v>
      </c>
      <c r="T84" s="215" t="str">
        <f ca="1">IF(B84="","",IF(ISERROR(MATCH($J84,SorP!$B$1:$B$6230,0)),"",INDIRECT("'SorP'!$A$"&amp;MATCH($J84,SorP!$B$1:$B$6230,0))))</f>
        <v>US-PA</v>
      </c>
      <c r="U84" s="231"/>
      <c r="V84" s="262">
        <f>IF(C84="",NA(),IF(OR(C84="Smelter not listed",C84="Smelter not yet identified"),MATCH($B84&amp;$D84,'Smelter Look-up'!$J:$J,0),MATCH($B84&amp;$C84,'Smelter Look-up'!$J:$J,0)))</f>
        <v>527</v>
      </c>
      <c r="W84" s="263"/>
      <c r="X84" s="263">
        <f t="shared" si="13"/>
        <v>0</v>
      </c>
      <c r="Y84" s="263"/>
      <c r="Z84" s="263"/>
      <c r="AB84" s="265" t="str">
        <f t="shared" si="14"/>
        <v>TinTin Technology &amp; Refining</v>
      </c>
    </row>
    <row r="85" spans="1:28" s="264" customFormat="1" ht="38.25">
      <c r="A85" s="207" t="s">
        <v>13957</v>
      </c>
      <c r="B85" s="208" t="s">
        <v>1131</v>
      </c>
      <c r="C85" s="356" t="s">
        <v>13942</v>
      </c>
      <c r="D85" s="270"/>
      <c r="E85" s="208" t="s">
        <v>15768</v>
      </c>
      <c r="F85" s="208" t="s">
        <v>13957</v>
      </c>
      <c r="G85" s="208" t="s">
        <v>13320</v>
      </c>
      <c r="H85" s="357" t="s">
        <v>15769</v>
      </c>
      <c r="I85" s="358" t="s">
        <v>13969</v>
      </c>
      <c r="J85" s="358" t="s">
        <v>10144</v>
      </c>
      <c r="K85" s="260"/>
      <c r="L85" s="260"/>
      <c r="M85" s="260"/>
      <c r="N85" s="260"/>
      <c r="O85" s="260"/>
      <c r="P85" s="211"/>
      <c r="Q85" s="261"/>
      <c r="R85" s="208" t="str">
        <f ca="1">IF(ISERROR($V85),"",OFFSET('Smelter Look-up'!$C$4,$V85-4,0)&amp;"")</f>
        <v>Luna Smelter, Ltd.</v>
      </c>
      <c r="S85" s="215" t="str">
        <f t="shared" ca="1" si="12"/>
        <v>RW</v>
      </c>
      <c r="T85" s="215" t="str">
        <f ca="1">IF(B85="","",IF(ISERROR(MATCH($J85,SorP!$B$1:$B$6230,0)),"",INDIRECT("'SorP'!$A$"&amp;MATCH($J85,SorP!$B$1:$B$6230,0))))</f>
        <v>RW-01</v>
      </c>
      <c r="U85" s="231"/>
      <c r="V85" s="262">
        <f>IF(C85="",NA(),IF(OR(C85="Smelter not listed",C85="Smelter not yet identified"),MATCH($B85&amp;$D85,'Smelter Look-up'!$J:$J,0),MATCH($B85&amp;$C85,'Smelter Look-up'!$J:$J,0)))</f>
        <v>454</v>
      </c>
      <c r="W85" s="263"/>
      <c r="X85" s="263">
        <f t="shared" si="13"/>
        <v>0</v>
      </c>
      <c r="Y85" s="263"/>
      <c r="Z85" s="263"/>
      <c r="AB85" s="265" t="str">
        <f t="shared" si="14"/>
        <v>TinLuna Smelter, Ltd.</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E1980D-ADEE-4868-B321-1B35381F33B1}"/>
    </customSheetView>
  </customSheetViews>
  <mergeCells count="3">
    <mergeCell ref="J2:O2"/>
    <mergeCell ref="B3:E3"/>
    <mergeCell ref="G3:I3"/>
  </mergeCells>
  <conditionalFormatting sqref="B586:B2504">
    <cfRule type="expression" dxfId="60" priority="68" stopIfTrue="1">
      <formula>IF(B586="",TRUE)</formula>
    </cfRule>
    <cfRule type="expression" dxfId="59" priority="79" stopIfTrue="1">
      <formula>IF(AND(COUNTIF(MetalSmelter,B586&amp;C586)=0,LEN(C586)&gt;0),TRUE,FALSE)</formula>
    </cfRule>
  </conditionalFormatting>
  <conditionalFormatting sqref="R586:R2505 E586:E2504">
    <cfRule type="expression" dxfId="58" priority="75" stopIfTrue="1">
      <formula>IF(AND(E586="",$C586=$X$4),TRUE)</formula>
    </cfRule>
    <cfRule type="expression" dxfId="57" priority="76" stopIfTrue="1">
      <formula>IF(FIND("!",E586),TRUE)</formula>
    </cfRule>
  </conditionalFormatting>
  <conditionalFormatting sqref="F586:F2504">
    <cfRule type="expression" dxfId="56" priority="66" stopIfTrue="1">
      <formula>IF(AND(LEN($A586)&gt;0,$A586&lt;&gt;$F586),TRUE,FALSE)</formula>
    </cfRule>
  </conditionalFormatting>
  <conditionalFormatting sqref="C586:C2504">
    <cfRule type="expression" dxfId="55" priority="65" stopIfTrue="1">
      <formula>IF(AND(B586&lt;&gt;"",C586=""),TRUE)</formula>
    </cfRule>
  </conditionalFormatting>
  <conditionalFormatting sqref="B86:B585">
    <cfRule type="expression" dxfId="54" priority="44" stopIfTrue="1">
      <formula>IF(B86="",TRUE)</formula>
    </cfRule>
    <cfRule type="expression" dxfId="53" priority="47" stopIfTrue="1">
      <formula>IF(AND(COUNTIF(MetalSmelter,B86&amp;C86)=0,LEN(C86)&gt;0),TRUE,FALSE)</formula>
    </cfRule>
  </conditionalFormatting>
  <conditionalFormatting sqref="G86:G2504">
    <cfRule type="expression" dxfId="52" priority="50" stopIfTrue="1">
      <formula>IF(FIND("Enter smelter details",G86),TRUE)</formula>
    </cfRule>
  </conditionalFormatting>
  <conditionalFormatting sqref="R5:R585 E86:E585">
    <cfRule type="expression" dxfId="51" priority="45" stopIfTrue="1">
      <formula>IF(AND(E5="",$C5=$X$4),TRUE)</formula>
    </cfRule>
    <cfRule type="expression" dxfId="50" priority="46" stopIfTrue="1">
      <formula>IF(FIND("!",E5),TRUE)</formula>
    </cfRule>
  </conditionalFormatting>
  <conditionalFormatting sqref="F86:F585">
    <cfRule type="expression" dxfId="49" priority="43" stopIfTrue="1">
      <formula>IF(AND(LEN($A86)&gt;0,$A86&lt;&gt;$F86),TRUE,FALSE)</formula>
    </cfRule>
  </conditionalFormatting>
  <conditionalFormatting sqref="C86:C585">
    <cfRule type="expression" dxfId="48" priority="42" stopIfTrue="1">
      <formula>IF(AND(B86&lt;&gt;"",C86=""),TRUE)</formula>
    </cfRule>
  </conditionalFormatting>
  <conditionalFormatting sqref="D86:D2504">
    <cfRule type="expression" dxfId="47" priority="41" stopIfTrue="1">
      <formula>IF(AND(LEN($C86)&gt;0,AND($C86&lt;&gt;"Smelter Not Listed",ISBLANK($D86))),1,0)</formula>
    </cfRule>
    <cfRule type="expression" dxfId="46" priority="48" stopIfTrue="1">
      <formula>IF(AND(D86="",$C86=$X$4),TRUE)</formula>
    </cfRule>
    <cfRule type="expression" dxfId="45" priority="49" stopIfTrue="1">
      <formula>IF(FIND("!",D86),TRUE)</formula>
    </cfRule>
  </conditionalFormatting>
  <conditionalFormatting sqref="B21:B85">
    <cfRule type="expression" dxfId="44" priority="24" stopIfTrue="1">
      <formula>IF(B21="",TRUE)</formula>
    </cfRule>
    <cfRule type="expression" dxfId="43" priority="27" stopIfTrue="1">
      <formula>IF(AND(COUNTIF(MetalSmelter,B21&amp;C21)=0,LEN(C21)&gt;0),TRUE,FALSE)</formula>
    </cfRule>
  </conditionalFormatting>
  <conditionalFormatting sqref="D21:D85">
    <cfRule type="expression" dxfId="42" priority="21" stopIfTrue="1">
      <formula>IF(AND(LEN($C21)&gt;0,($C21&lt;&gt;"Smelter Not Listed")),1,0)</formula>
    </cfRule>
    <cfRule type="expression" dxfId="41" priority="28" stopIfTrue="1">
      <formula>IF(AND(D21="",$C21=$X$4),TRUE)</formula>
    </cfRule>
    <cfRule type="expression" dxfId="40" priority="29" stopIfTrue="1">
      <formula>IF(FIND("!",D21),TRUE)</formula>
    </cfRule>
  </conditionalFormatting>
  <conditionalFormatting sqref="G21:G85">
    <cfRule type="expression" dxfId="39" priority="30" stopIfTrue="1">
      <formula>IF(FIND("Enter smelter details",G21),TRUE)</formula>
    </cfRule>
  </conditionalFormatting>
  <conditionalFormatting sqref="E21:E85">
    <cfRule type="expression" dxfId="38" priority="25" stopIfTrue="1">
      <formula>IF(AND(E21="",$C21=$X$4),TRUE)</formula>
    </cfRule>
    <cfRule type="expression" dxfId="37" priority="26" stopIfTrue="1">
      <formula>IF(FIND("!",E21),TRUE)</formula>
    </cfRule>
  </conditionalFormatting>
  <conditionalFormatting sqref="F21:F85">
    <cfRule type="expression" dxfId="36" priority="23" stopIfTrue="1">
      <formula>IF(AND(LEN($A21)&gt;0,$A21&lt;&gt;$F21),TRUE,FALSE)</formula>
    </cfRule>
  </conditionalFormatting>
  <conditionalFormatting sqref="C21:C85">
    <cfRule type="expression" dxfId="35" priority="22" stopIfTrue="1">
      <formula>IF(AND(B21&lt;&gt;"",C21=""),TRUE)</formula>
    </cfRule>
  </conditionalFormatting>
  <conditionalFormatting sqref="B5:B19">
    <cfRule type="expression" dxfId="34" priority="14" stopIfTrue="1">
      <formula>IF(B5="",TRUE)</formula>
    </cfRule>
    <cfRule type="expression" dxfId="33" priority="17" stopIfTrue="1">
      <formula>IF(AND(COUNTIF(MetalSmelter,B5&amp;C5)=0,LEN(C5)&gt;0),TRUE,FALSE)</formula>
    </cfRule>
  </conditionalFormatting>
  <conditionalFormatting sqref="D5:D1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cfRule type="expression" dxfId="29" priority="20" stopIfTrue="1">
      <formula>IF(FIND("Enter smelter details",G5),TRUE)</formula>
    </cfRule>
  </conditionalFormatting>
  <conditionalFormatting sqref="E5:E19">
    <cfRule type="expression" dxfId="28" priority="15" stopIfTrue="1">
      <formula>IF(AND(E5="",$C5=$X$4),TRUE)</formula>
    </cfRule>
    <cfRule type="expression" dxfId="27" priority="16" stopIfTrue="1">
      <formula>IF(FIND("!",E5),TRUE)</formula>
    </cfRule>
  </conditionalFormatting>
  <conditionalFormatting sqref="F5:F19">
    <cfRule type="expression" dxfId="26" priority="13" stopIfTrue="1">
      <formula>IF(AND(LEN($A5)&gt;0,$A5&lt;&gt;$F5),TRUE,FALSE)</formula>
    </cfRule>
  </conditionalFormatting>
  <conditionalFormatting sqref="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Harwin plc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Company</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Martin J Perry</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complianceteam@harwin.co.uk</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+44 (0)23 9231 4545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Mark Plested</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complianceteam@harwin.co.uk</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https://cdn.harwin.com/pdfs/HF-337_Conflict_Minerals_Statement.pdf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2023-07-07T13:05:26Z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